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rin.Jakobson\Downloads\"/>
    </mc:Choice>
  </mc:AlternateContent>
  <xr:revisionPtr revIDLastSave="0" documentId="13_ncr:1_{6116E50F-DF11-4F68-BEF0-7D8C0F129F95}" xr6:coauthVersionLast="47" xr6:coauthVersionMax="47" xr10:uidLastSave="{00000000-0000-0000-0000-000000000000}"/>
  <bookViews>
    <workbookView xWindow="-110" yWindow="-110" windowWidth="38620" windowHeight="21220" xr2:uid="{4D1749CD-7348-40E3-9063-2FA36ECE44CB}"/>
  </bookViews>
  <sheets>
    <sheet name="aruanne" sheetId="1" r:id="rId1"/>
    <sheet name="vordlus" sheetId="2" r:id="rId2"/>
    <sheet name="lisa1" sheetId="4" r:id="rId3"/>
  </sheets>
  <definedNames>
    <definedName name="_xlnm._FilterDatabase" localSheetId="0" hidden="1">aruanne!$A$11:$E$110</definedName>
    <definedName name="_xlnm._FilterDatabase" localSheetId="1" hidden="1">vordlus!$A$4:$J$24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4" l="1"/>
  <c r="C12" i="4"/>
  <c r="C26" i="1"/>
  <c r="C25" i="1"/>
  <c r="E27" i="1"/>
  <c r="E25" i="1"/>
  <c r="C27" i="1"/>
  <c r="C24" i="1"/>
  <c r="F82" i="1"/>
  <c r="F81" i="1"/>
  <c r="D81" i="1"/>
  <c r="D77" i="1"/>
  <c r="E76" i="1" l="1"/>
  <c r="E75" i="1"/>
  <c r="D82" i="1"/>
  <c r="D83" i="1"/>
  <c r="E85" i="1"/>
  <c r="E87" i="1"/>
  <c r="C27" i="4" l="1"/>
  <c r="D30" i="1" l="1"/>
  <c r="D61" i="1"/>
  <c r="D60" i="1"/>
  <c r="D39" i="1" l="1"/>
  <c r="D38" i="1"/>
  <c r="D37" i="1"/>
  <c r="D36" i="1"/>
  <c r="D32" i="1"/>
  <c r="D20" i="1"/>
  <c r="D33" i="1"/>
  <c r="D21" i="1"/>
  <c r="E7" i="1"/>
  <c r="E72" i="1" l="1"/>
  <c r="E62" i="1"/>
  <c r="E60" i="1"/>
  <c r="E66" i="1"/>
  <c r="E30" i="1"/>
  <c r="E54" i="1"/>
  <c r="E52" i="1"/>
  <c r="E48" i="1"/>
  <c r="E50" i="1"/>
  <c r="E46" i="1"/>
  <c r="E44" i="1"/>
  <c r="E42" i="1"/>
  <c r="E40" i="1"/>
  <c r="E38" i="1"/>
  <c r="E36" i="1"/>
  <c r="E34" i="1"/>
  <c r="E32" i="1"/>
  <c r="E28" i="1"/>
  <c r="E20" i="1"/>
  <c r="E22" i="1"/>
  <c r="E18" i="1"/>
  <c r="E24" i="1" l="1"/>
  <c r="E26" i="1"/>
  <c r="D18" i="1"/>
  <c r="D80" i="1"/>
  <c r="D79" i="1"/>
  <c r="D73" i="1"/>
  <c r="D72" i="1"/>
  <c r="D67" i="1"/>
  <c r="D66" i="1"/>
  <c r="D63" i="1"/>
  <c r="D62" i="1"/>
  <c r="D55" i="1"/>
  <c r="D54" i="1"/>
  <c r="D53" i="1"/>
  <c r="D52" i="1"/>
  <c r="D49" i="1"/>
  <c r="D48" i="1"/>
  <c r="D47" i="1"/>
  <c r="D46" i="1"/>
  <c r="D44" i="1"/>
  <c r="D43" i="1"/>
  <c r="D42" i="1"/>
  <c r="D41" i="1"/>
  <c r="D40" i="1"/>
  <c r="D34" i="1"/>
  <c r="D31" i="1"/>
  <c r="D29" i="1"/>
  <c r="D28" i="1"/>
  <c r="D23" i="1"/>
  <c r="D22" i="1"/>
  <c r="D19" i="1"/>
  <c r="D75" i="1" l="1"/>
  <c r="E89" i="1"/>
  <c r="E84" i="1" s="1"/>
  <c r="H12" i="2"/>
  <c r="E108" i="1"/>
  <c r="E107" i="1"/>
  <c r="C17" i="2"/>
  <c r="C13" i="2"/>
  <c r="D12" i="2"/>
  <c r="E99" i="1"/>
  <c r="E6" i="1"/>
  <c r="D74" i="1"/>
  <c r="D8" i="2" l="1"/>
  <c r="C23" i="4" l="1"/>
  <c r="C4" i="1" l="1"/>
  <c r="F87" i="1" l="1"/>
  <c r="C87" i="1"/>
  <c r="E106" i="1"/>
  <c r="C11" i="2"/>
  <c r="C3" i="2" l="1"/>
  <c r="C19" i="4" l="1"/>
  <c r="C17" i="4"/>
  <c r="D7" i="1" l="1"/>
  <c r="D6" i="1"/>
  <c r="C76" i="1" l="1"/>
  <c r="F31" i="1" l="1"/>
  <c r="F30" i="1"/>
  <c r="C75" i="1"/>
  <c r="C65" i="1"/>
  <c r="G79" i="1" l="1"/>
  <c r="G80" i="1"/>
  <c r="D78" i="1" l="1"/>
  <c r="D50" i="1"/>
  <c r="F85" i="1"/>
  <c r="F106" i="1"/>
  <c r="F89" i="1"/>
  <c r="F84" i="1" s="1"/>
  <c r="F76" i="1"/>
  <c r="F77" i="1"/>
  <c r="F73" i="1"/>
  <c r="F71" i="1" s="1"/>
  <c r="F72" i="1"/>
  <c r="F70" i="1" s="1"/>
  <c r="F67" i="1"/>
  <c r="F65" i="1" s="1"/>
  <c r="F66" i="1"/>
  <c r="F63" i="1"/>
  <c r="F62" i="1"/>
  <c r="F61" i="1"/>
  <c r="F60" i="1"/>
  <c r="F55" i="1"/>
  <c r="F54" i="1"/>
  <c r="F52" i="1"/>
  <c r="F51" i="1"/>
  <c r="F50" i="1"/>
  <c r="F49" i="1"/>
  <c r="F48" i="1"/>
  <c r="F47" i="1"/>
  <c r="F46" i="1"/>
  <c r="F45" i="1"/>
  <c r="F44" i="1"/>
  <c r="F43" i="1"/>
  <c r="F42" i="1"/>
  <c r="F40" i="1"/>
  <c r="F39" i="1"/>
  <c r="F38" i="1"/>
  <c r="F37" i="1"/>
  <c r="F36" i="1"/>
  <c r="F35" i="1"/>
  <c r="F34" i="1"/>
  <c r="F33" i="1"/>
  <c r="F32" i="1"/>
  <c r="F29" i="1"/>
  <c r="F28" i="1"/>
  <c r="F23" i="1"/>
  <c r="F22" i="1"/>
  <c r="F21" i="1"/>
  <c r="F20" i="1"/>
  <c r="F18" i="1"/>
  <c r="F10" i="1"/>
  <c r="F8" i="1"/>
  <c r="F7" i="1"/>
  <c r="F6" i="1"/>
  <c r="F25" i="1" l="1"/>
  <c r="F27" i="1"/>
  <c r="D26" i="1"/>
  <c r="D24" i="1"/>
  <c r="F26" i="1"/>
  <c r="F24" i="1"/>
  <c r="D76" i="1"/>
  <c r="F59" i="1"/>
  <c r="F58" i="1"/>
  <c r="F17" i="1"/>
  <c r="F68" i="1"/>
  <c r="F69" i="1"/>
  <c r="F75" i="1"/>
  <c r="F56" i="1"/>
  <c r="F16" i="1"/>
  <c r="F15" i="1"/>
  <c r="F64" i="1"/>
  <c r="F57" i="1"/>
  <c r="F14" i="1"/>
  <c r="G19" i="2"/>
  <c r="G13" i="2" s="1"/>
  <c r="G18" i="2"/>
  <c r="G17" i="2"/>
  <c r="G11" i="2"/>
  <c r="F12" i="1" l="1"/>
  <c r="F13" i="1"/>
  <c r="G86" i="1"/>
  <c r="C17" i="1" l="1"/>
  <c r="C16" i="1"/>
  <c r="C71" i="1"/>
  <c r="C70" i="1"/>
  <c r="C64" i="1"/>
  <c r="C59" i="1"/>
  <c r="C58" i="1"/>
  <c r="E65" i="1" l="1"/>
  <c r="D65" i="1"/>
  <c r="E64" i="1"/>
  <c r="D64" i="1"/>
  <c r="E59" i="1"/>
  <c r="D59" i="1"/>
  <c r="E58" i="1"/>
  <c r="D51" i="1"/>
  <c r="D45" i="1"/>
  <c r="D35" i="1"/>
  <c r="D27" i="1" l="1"/>
  <c r="D25" i="1"/>
  <c r="D16" i="1"/>
  <c r="E68" i="1"/>
  <c r="E70" i="1"/>
  <c r="D69" i="1"/>
  <c r="D71" i="1"/>
  <c r="E69" i="1"/>
  <c r="E71" i="1"/>
  <c r="D68" i="1"/>
  <c r="D70" i="1"/>
  <c r="D17" i="1"/>
  <c r="D58" i="1"/>
  <c r="G19" i="1"/>
  <c r="G23" i="1"/>
  <c r="G22" i="1"/>
  <c r="H17" i="2" l="1"/>
  <c r="G63" i="1" l="1"/>
  <c r="G62" i="1"/>
  <c r="G61" i="1"/>
  <c r="G55" i="1"/>
  <c r="G54" i="1"/>
  <c r="G53" i="1"/>
  <c r="G52" i="1"/>
  <c r="G47" i="1"/>
  <c r="G46" i="1"/>
  <c r="G41" i="1"/>
  <c r="G40" i="1"/>
  <c r="G39" i="1"/>
  <c r="G38" i="1"/>
  <c r="G33" i="1"/>
  <c r="G32" i="1"/>
  <c r="G31" i="1"/>
  <c r="G30" i="1"/>
  <c r="G29" i="1"/>
  <c r="G28" i="1"/>
  <c r="G59" i="1" l="1"/>
  <c r="D90" i="1" l="1"/>
  <c r="D89" i="1"/>
  <c r="D88" i="1"/>
  <c r="D23" i="2"/>
  <c r="D21" i="2"/>
  <c r="D20" i="2"/>
  <c r="H23" i="2"/>
  <c r="H20" i="2"/>
  <c r="G82" i="1"/>
  <c r="G81" i="1"/>
  <c r="G77" i="1"/>
  <c r="C85" i="1"/>
  <c r="C84" i="1"/>
  <c r="D10" i="1"/>
  <c r="D9" i="1"/>
  <c r="D5" i="1"/>
  <c r="D11" i="1"/>
  <c r="D19" i="2"/>
  <c r="D17" i="2" s="1"/>
  <c r="H19" i="2"/>
  <c r="D87" i="1" l="1"/>
  <c r="D84" i="1" s="1"/>
  <c r="D85" i="1"/>
  <c r="G89" i="1"/>
  <c r="G88" i="1"/>
  <c r="G87" i="1" s="1"/>
  <c r="G36" i="1"/>
  <c r="G51" i="1"/>
  <c r="G44" i="1"/>
  <c r="G45" i="1"/>
  <c r="D8" i="4"/>
  <c r="G50" i="1"/>
  <c r="G42" i="1"/>
  <c r="H21" i="2"/>
  <c r="G90" i="1"/>
  <c r="G34" i="1"/>
  <c r="G37" i="1"/>
  <c r="G43" i="1"/>
  <c r="G48" i="1"/>
  <c r="G35" i="1"/>
  <c r="G49" i="1"/>
  <c r="G78" i="1"/>
  <c r="G26" i="1" l="1"/>
  <c r="G24" i="1"/>
  <c r="G27" i="1"/>
  <c r="G25" i="1"/>
  <c r="G85" i="1"/>
  <c r="G84" i="1"/>
  <c r="D37" i="4"/>
  <c r="G83" i="1"/>
  <c r="E57" i="1"/>
  <c r="D57" i="1"/>
  <c r="E56" i="1"/>
  <c r="D56" i="1"/>
  <c r="C57" i="1"/>
  <c r="C56" i="1"/>
  <c r="C69" i="1"/>
  <c r="C68" i="1"/>
  <c r="D15" i="1"/>
  <c r="D14" i="1"/>
  <c r="C15" i="1"/>
  <c r="C14" i="1"/>
  <c r="E20" i="2"/>
  <c r="E19" i="2"/>
  <c r="E17" i="2"/>
  <c r="D16" i="2"/>
  <c r="E16" i="2" s="1"/>
  <c r="D11" i="2"/>
  <c r="E11" i="2" s="1"/>
  <c r="D10" i="2"/>
  <c r="E10" i="2" s="1"/>
  <c r="D9" i="2"/>
  <c r="E9" i="2" s="1"/>
  <c r="E8" i="2"/>
  <c r="D6" i="2"/>
  <c r="E6" i="2" s="1"/>
  <c r="D5" i="2"/>
  <c r="E5" i="2" s="1"/>
  <c r="E23" i="2"/>
  <c r="E22" i="2"/>
  <c r="E21" i="2"/>
  <c r="E18" i="2"/>
  <c r="E15" i="2"/>
  <c r="E14" i="2"/>
  <c r="E7" i="2"/>
  <c r="H16" i="2"/>
  <c r="I19" i="2"/>
  <c r="I20" i="2"/>
  <c r="G74" i="1"/>
  <c r="G67" i="1"/>
  <c r="G65" i="1" s="1"/>
  <c r="G66" i="1"/>
  <c r="D12" i="1" l="1"/>
  <c r="D13" i="1"/>
  <c r="G64" i="1"/>
  <c r="G57" i="1"/>
  <c r="C13" i="1"/>
  <c r="E12" i="2"/>
  <c r="C12" i="1"/>
  <c r="C8" i="4" s="1"/>
  <c r="H13" i="2"/>
  <c r="C37" i="4" l="1"/>
  <c r="G18" i="1"/>
  <c r="G11" i="1"/>
  <c r="G10" i="1"/>
  <c r="G9" i="1"/>
  <c r="G8" i="1"/>
  <c r="G7" i="1"/>
  <c r="G6" i="1"/>
  <c r="G5" i="1"/>
  <c r="E4" i="1"/>
  <c r="D4" i="1"/>
  <c r="I7" i="2"/>
  <c r="H10" i="2"/>
  <c r="I10" i="2" s="1"/>
  <c r="H9" i="2"/>
  <c r="I9" i="2" s="1"/>
  <c r="H5" i="2"/>
  <c r="I5" i="2" s="1"/>
  <c r="H11" i="2" l="1"/>
  <c r="H8" i="2"/>
  <c r="I8" i="2" s="1"/>
  <c r="F4" i="1"/>
  <c r="G4" i="1"/>
  <c r="H6" i="2"/>
  <c r="I6" i="2" s="1"/>
  <c r="I11" i="2" l="1"/>
  <c r="F97" i="1" l="1"/>
  <c r="F109" i="1" l="1"/>
  <c r="G72" i="1" l="1"/>
  <c r="G70" i="1" s="1"/>
  <c r="G73" i="1"/>
  <c r="G71" i="1" s="1"/>
  <c r="G69" i="1" l="1"/>
  <c r="G68" i="1"/>
  <c r="D36" i="4" l="1"/>
  <c r="B8" i="4"/>
  <c r="B36" i="4" s="1"/>
  <c r="I23" i="2" l="1"/>
  <c r="I22" i="2"/>
  <c r="I21" i="2"/>
  <c r="I18" i="2"/>
  <c r="I15" i="2"/>
  <c r="I14" i="2"/>
  <c r="E97" i="1"/>
  <c r="G96" i="1"/>
  <c r="G76" i="1" s="1"/>
  <c r="G95" i="1"/>
  <c r="G94" i="1"/>
  <c r="G93" i="1"/>
  <c r="G75" i="1" l="1"/>
  <c r="I12" i="2"/>
  <c r="D38" i="4"/>
  <c r="B37" i="4"/>
  <c r="B38" i="4" s="1"/>
  <c r="I16" i="2" l="1"/>
  <c r="G60" i="1"/>
  <c r="I17" i="2"/>
  <c r="C36" i="4"/>
  <c r="G3" i="2"/>
  <c r="G58" i="1" l="1"/>
  <c r="G56" i="1"/>
  <c r="C38" i="4"/>
  <c r="I13" i="2"/>
  <c r="H3" i="2" l="1"/>
  <c r="I3" i="2" l="1"/>
  <c r="E15" i="1" l="1"/>
  <c r="E13" i="1" s="1"/>
  <c r="G21" i="1"/>
  <c r="G15" i="1" s="1"/>
  <c r="G13" i="1" s="1"/>
  <c r="E17" i="1"/>
  <c r="G20" i="1"/>
  <c r="E16" i="1"/>
  <c r="G17" i="1" l="1"/>
  <c r="G16" i="1"/>
  <c r="G14" i="1"/>
  <c r="E14" i="1"/>
  <c r="E12" i="1" s="1"/>
  <c r="G12" i="1" l="1"/>
  <c r="D13" i="2" l="1"/>
  <c r="E109" i="1"/>
  <c r="D3" i="2" l="1"/>
  <c r="E13" i="2"/>
  <c r="E3" i="2" s="1"/>
</calcChain>
</file>

<file path=xl/sharedStrings.xml><?xml version="1.0" encoding="utf-8"?>
<sst xmlns="http://schemas.openxmlformats.org/spreadsheetml/2006/main" count="206" uniqueCount="136">
  <si>
    <t>eurodes</t>
  </si>
  <si>
    <t>Algne eelarve</t>
  </si>
  <si>
    <t>Lõplik eelarve</t>
  </si>
  <si>
    <t>Täitmine miinus lõplik eelarve</t>
  </si>
  <si>
    <t>Saadud toetused</t>
  </si>
  <si>
    <t>Riigilõivud</t>
  </si>
  <si>
    <t>Trahvid ja muud varalised karistused</t>
  </si>
  <si>
    <t>Intressi- ja omanikutulud</t>
  </si>
  <si>
    <t>sh piirmääraga vahendid</t>
  </si>
  <si>
    <t>Mitterahaliselt antud toetused</t>
  </si>
  <si>
    <t xml:space="preserve">TULUD </t>
  </si>
  <si>
    <t>KULUD</t>
  </si>
  <si>
    <t xml:space="preserve">INVESTEERINGUD </t>
  </si>
  <si>
    <t>KORRIGEERIMISED</t>
  </si>
  <si>
    <t>Kontroll</t>
  </si>
  <si>
    <t>saldoandmik</t>
  </si>
  <si>
    <t>Tulemusvaldkond: TÕHUS RIIK</t>
  </si>
  <si>
    <t xml:space="preserve">FINANTSEERIMISTEHINGUD </t>
  </si>
  <si>
    <t>Tulemusvaldkond: TARK JA TEGUS RAHVAS</t>
  </si>
  <si>
    <t>Haridus- ja noorteprogramm</t>
  </si>
  <si>
    <t>Kulud</t>
  </si>
  <si>
    <t>Investeeringud</t>
  </si>
  <si>
    <t>Tulemusvaldkond: EESTI KEEL JA EESTLUS</t>
  </si>
  <si>
    <t>Keeleprogramm</t>
  </si>
  <si>
    <t>Arhiivindusprogramm</t>
  </si>
  <si>
    <t xml:space="preserve">JAOTAMATA </t>
  </si>
  <si>
    <t>SAP miinus jaotatud</t>
  </si>
  <si>
    <t>Saadud mitterahalised toetused</t>
  </si>
  <si>
    <t>Teistelt valitsemisaladelt saadud välistoetuste kaasfinantseerimine</t>
  </si>
  <si>
    <t>Tulem bioloogilise vara ümberhindamisest</t>
  </si>
  <si>
    <t>Teistele valitsemisaladele antud välistoetused (tulu taastamine)</t>
  </si>
  <si>
    <t>Ebatõenäoliselt laekuvad nõuded (tulu taastamine)</t>
  </si>
  <si>
    <t>Ebatõenäoliselt laekuvad nõuded (kulu taastamine)</t>
  </si>
  <si>
    <t xml:space="preserve">Lisa </t>
  </si>
  <si>
    <t>Eelarve täitmise ja raamatupidamisaruannete võrdlus</t>
  </si>
  <si>
    <t>Kirje</t>
  </si>
  <si>
    <t>Selgitus</t>
  </si>
  <si>
    <t>Finantstulud</t>
  </si>
  <si>
    <t>Finantskulud</t>
  </si>
  <si>
    <t>HTM</t>
  </si>
  <si>
    <t>3sisesed</t>
  </si>
  <si>
    <t>4,5,6sisesed</t>
  </si>
  <si>
    <t>15ettemaksed</t>
  </si>
  <si>
    <t>Kapitalirendi tagasimaksed</t>
  </si>
  <si>
    <t>Õppelaenude andmine</t>
  </si>
  <si>
    <t>Õppelaenude tagasimaksed</t>
  </si>
  <si>
    <t>Lõpliku eelarve kujunemine</t>
  </si>
  <si>
    <t>Tulud</t>
  </si>
  <si>
    <t>Fin tehingud</t>
  </si>
  <si>
    <t>Esialgne eelarve</t>
  </si>
  <si>
    <t>Üle toodud eelmisest aastast</t>
  </si>
  <si>
    <t>Sihtotstarbeliste vahendite reservist</t>
  </si>
  <si>
    <t>Eelarves kavandatud toetused</t>
  </si>
  <si>
    <t>Tegelikult saadud toetused ja avatud sildfinantseerimine</t>
  </si>
  <si>
    <t>Eelarves kavandatud saastekvootide müügist</t>
  </si>
  <si>
    <t>Tegelikult saadud saastekvootide müügist</t>
  </si>
  <si>
    <t>Saastekvootide müügist saadud eelarve ümberjaotamine</t>
  </si>
  <si>
    <t>Eelarves kavandatud majandustegevusest laekuv tulu</t>
  </si>
  <si>
    <t>Tegelikult majandustegevusest saadud tulu</t>
  </si>
  <si>
    <t>Eelarves kavandatud muud tuludest sõltuvad kulud</t>
  </si>
  <si>
    <t>Eelarves kavandatud edasiantavad maksud</t>
  </si>
  <si>
    <t>Tegelikud edasiantavad maksud</t>
  </si>
  <si>
    <t xml:space="preserve">Saadud Vabariigi Valitsuse reservfondist </t>
  </si>
  <si>
    <t>Antud Vabariigi valitsuse reservfondi</t>
  </si>
  <si>
    <t>Saadud omandireformi reservfondist</t>
  </si>
  <si>
    <t>Kokku lõplik eelarve</t>
  </si>
  <si>
    <t>Käibemaks</t>
  </si>
  <si>
    <t>Käibemaksukulu tegevuskuludelt</t>
  </si>
  <si>
    <t>Käibemaksukulu finantseerimistehingutelt</t>
  </si>
  <si>
    <t>Muud tulud</t>
  </si>
  <si>
    <t>Siseste saadud ja antud toetuste vahe</t>
  </si>
  <si>
    <t>Teistele valitsemisaladele vahendatud välistoetused ja kaasfinantseerimine (kulu taastamine)</t>
  </si>
  <si>
    <t>Eelarves kavandatud välistoetuste kaasrahastamine</t>
  </si>
  <si>
    <t>Tegelik välistoetuste kaasrahastamine</t>
  </si>
  <si>
    <t>Täitmine 2022</t>
  </si>
  <si>
    <t>Raamatupidamisandmed 2022</t>
  </si>
  <si>
    <t>RE aruanne 2022</t>
  </si>
  <si>
    <t>Vahe 2022</t>
  </si>
  <si>
    <t>Tulud majandustegevusest</t>
  </si>
  <si>
    <t>sh käibemaks</t>
  </si>
  <si>
    <t>Käibemaksukulu investeeringutelt</t>
  </si>
  <si>
    <t>Tegevuskulud, v.a käibemaksukulu</t>
  </si>
  <si>
    <t>Investeeringud, v.a käibemaksukulu</t>
  </si>
  <si>
    <t>Tulu põhivarade ja varude müügist</t>
  </si>
  <si>
    <t>Eesti keele maine ja staatuse tugevdamine</t>
  </si>
  <si>
    <t>Keeletaristu ja keeletehnoloogia arendamine</t>
  </si>
  <si>
    <t>Eesti keele õppe toetamine ja oskuse hindamine ning mitmekeelsus</t>
  </si>
  <si>
    <t>Haridusvõrgu korrastamine ja arendamine</t>
  </si>
  <si>
    <t>Täiskasvanuhariduse arendamine ja õppimisvõimaluste loomine</t>
  </si>
  <si>
    <t>Hariduse rahvusvahelise konkurentsivõime edendamine</t>
  </si>
  <si>
    <t>Õppekava ja koolikorralduse arendustegevused</t>
  </si>
  <si>
    <t>Võrdsete võimaluste tagamine hariduses</t>
  </si>
  <si>
    <t>Õpetajate ja haridusasutuste juhtide arengu toetamine</t>
  </si>
  <si>
    <t>Kutsesüsteemi arendamine ja oskuste prognoosisüsteem OSKA</t>
  </si>
  <si>
    <t>Õppe seostamine tööturu vajadustega</t>
  </si>
  <si>
    <t>Noorte ettevõtlikkuse ja omaalgatuste toetamine (HOOG)</t>
  </si>
  <si>
    <t>Noorte kodanikuosaluse toetamine ja õiguste kaitsmine (OSA)</t>
  </si>
  <si>
    <t>Noorsootöö kättesaadavuse ja kvaliteedi arendamine (ISE)</t>
  </si>
  <si>
    <t>Noortele ühiskonnas võrdsete võimaluste tagamine (KINDLUS)</t>
  </si>
  <si>
    <t>Tulemusvaldkond: TEADUS- JA ARENDUSTEGEVUS NING ETTEVÕTLUS</t>
  </si>
  <si>
    <t>Teadussüsteemi programm</t>
  </si>
  <si>
    <t>Teadusasutuste ja teadlaskonna arengu toetamine</t>
  </si>
  <si>
    <t>Teadmussiirde programm</t>
  </si>
  <si>
    <t>Sektoritevahelise teadmussiirde toetamine</t>
  </si>
  <si>
    <t>Arhivaalide kogumine, säilitamine ja juurdepääsu tagamine</t>
  </si>
  <si>
    <t xml:space="preserve">HARIDUS- JA TEADUSMINISTEERIUMI valitsemisala </t>
  </si>
  <si>
    <t>Gümnaasiumivõrgu korrastamine</t>
  </si>
  <si>
    <t>Muud investeeringud kokku</t>
  </si>
  <si>
    <t>Laenukohustised</t>
  </si>
  <si>
    <t>Laenunõuded</t>
  </si>
  <si>
    <t>RE aruandes netos</t>
  </si>
  <si>
    <t>Kulud, investeeringud</t>
  </si>
  <si>
    <t>sisene</t>
  </si>
  <si>
    <t>Kapitaliseeritud töötasud (kulu vähendamine)</t>
  </si>
  <si>
    <t>Kapitaliseeritud töötasud (investeeringu suurendamine)</t>
  </si>
  <si>
    <t>ebatõenäolised trahvid ja maj teg nõuded korrigeerimistes ühes summas</t>
  </si>
  <si>
    <t>2023. aasta riigieelarve täitmise arunne</t>
  </si>
  <si>
    <t>Täitmine 2023</t>
  </si>
  <si>
    <t>Juurdepääsu tagamine üld- ja kutseharidusele</t>
  </si>
  <si>
    <t>Vahendid Riigi Kinnisvara Aktsiaseltsile</t>
  </si>
  <si>
    <t>Muudatused riigieelarve seaduse muutmise seaduse alusel alates 01.07.2023</t>
  </si>
  <si>
    <t>Muudatused riigieelarve seaduse muutmise seaduse alusel detsembris 2023</t>
  </si>
  <si>
    <t>Muudatused Vabariigi Valitsuse korralduste alusel</t>
  </si>
  <si>
    <t>Ümber jaotatatud tulust sõltuvate vahendite jäägid alates 01.07.2023</t>
  </si>
  <si>
    <t>Tegelikud muud tuludest sõltuvad kulud</t>
  </si>
  <si>
    <t>Taastuvenergia statistiliste ühikute eelarve ümberjaotamine</t>
  </si>
  <si>
    <t>Omandireformi reservfondi vahendite ümberjaotamine</t>
  </si>
  <si>
    <t>Sihtotstarbeliste vahendite reservi ümberjaotamine</t>
  </si>
  <si>
    <t xml:space="preserve">Vabariigi Valitsuse reservfondi vahendite ümberjaotamine </t>
  </si>
  <si>
    <t>Ümber jaotatatud 2022. aastast üle toodud piirmääraga vahendite jäägid alates 01.07.2023 (v.a reservid)</t>
  </si>
  <si>
    <t>Raamatupidamisandmed 2023</t>
  </si>
  <si>
    <t>Vahe 2023</t>
  </si>
  <si>
    <t>RE aruanne 2023</t>
  </si>
  <si>
    <t>Teadustaristu kvaliteedi ja kättesaadavuse tagamine</t>
  </si>
  <si>
    <t>Juurdepääsu tagamine kõrgharidusele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</si>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</sst>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rgb="FF0000FF"/>
      <name val="Times New Roman"/>
      <family val="1"/>
      <charset val="186"/>
    </font>
    <font>
      <sz val="10"/>
      <name val="Arial"/>
      <family val="2"/>
      <charset val="186"/>
    </font>
    <font>
      <sz val="12"/>
      <color theme="5" tint="-0.499984740745262"/>
      <name val="Times New Roman"/>
      <family val="1"/>
      <charset val="186"/>
    </font>
    <font>
      <b/>
      <sz val="12"/>
      <color theme="5" tint="-0.499984740745262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0"/>
      <color theme="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3">
    <xf numFmtId="0" fontId="0" fillId="0" borderId="0" xfId="0"/>
    <xf numFmtId="3" fontId="0" fillId="0" borderId="0" xfId="0" applyNumberFormat="1"/>
    <xf numFmtId="3" fontId="5" fillId="0" borderId="1" xfId="2" applyNumberFormat="1" applyFont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3" fillId="2" borderId="1" xfId="2" applyNumberFormat="1" applyFont="1" applyFill="1" applyBorder="1" applyAlignment="1" applyProtection="1">
      <alignment horizontal="right"/>
      <protection locked="0"/>
    </xf>
    <xf numFmtId="3" fontId="3" fillId="2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9" fillId="2" borderId="1" xfId="0" applyNumberFormat="1" applyFont="1" applyFill="1" applyBorder="1" applyAlignment="1">
      <alignment horizontal="right"/>
    </xf>
    <xf numFmtId="0" fontId="10" fillId="0" borderId="0" xfId="0" applyFont="1"/>
    <xf numFmtId="4" fontId="0" fillId="0" borderId="0" xfId="0" applyNumberFormat="1"/>
    <xf numFmtId="0" fontId="10" fillId="2" borderId="1" xfId="0" applyFont="1" applyFill="1" applyBorder="1" applyAlignment="1">
      <alignment vertical="top"/>
    </xf>
    <xf numFmtId="4" fontId="10" fillId="2" borderId="1" xfId="0" applyNumberFormat="1" applyFont="1" applyFill="1" applyBorder="1" applyAlignment="1">
      <alignment vertical="top" wrapText="1"/>
    </xf>
    <xf numFmtId="3" fontId="12" fillId="0" borderId="1" xfId="0" applyNumberFormat="1" applyFont="1" applyBorder="1"/>
    <xf numFmtId="0" fontId="12" fillId="0" borderId="0" xfId="0" applyFont="1"/>
    <xf numFmtId="0" fontId="10" fillId="3" borderId="1" xfId="0" applyFont="1" applyFill="1" applyBorder="1" applyAlignment="1">
      <alignment vertical="top"/>
    </xf>
    <xf numFmtId="3" fontId="12" fillId="3" borderId="1" xfId="0" applyNumberFormat="1" applyFont="1" applyFill="1" applyBorder="1" applyAlignment="1">
      <alignment horizontal="center" vertical="top" wrapText="1"/>
    </xf>
    <xf numFmtId="3" fontId="12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vertical="top"/>
    </xf>
    <xf numFmtId="3" fontId="10" fillId="0" borderId="1" xfId="0" applyNumberFormat="1" applyFont="1" applyBorder="1" applyAlignment="1">
      <alignment vertical="top"/>
    </xf>
    <xf numFmtId="3" fontId="12" fillId="0" borderId="0" xfId="0" applyNumberFormat="1" applyFont="1"/>
    <xf numFmtId="0" fontId="11" fillId="0" borderId="0" xfId="0" applyFont="1"/>
    <xf numFmtId="4" fontId="0" fillId="0" borderId="0" xfId="0" applyNumberFormat="1" applyAlignment="1">
      <alignment horizontal="right"/>
    </xf>
    <xf numFmtId="4" fontId="10" fillId="2" borderId="1" xfId="0" applyNumberFormat="1" applyFont="1" applyFill="1" applyBorder="1" applyAlignment="1">
      <alignment horizontal="right" vertical="top" wrapText="1"/>
    </xf>
    <xf numFmtId="4" fontId="10" fillId="2" borderId="1" xfId="0" applyNumberFormat="1" applyFont="1" applyFill="1" applyBorder="1" applyAlignment="1">
      <alignment vertical="top"/>
    </xf>
    <xf numFmtId="0" fontId="2" fillId="0" borderId="0" xfId="0" applyFont="1"/>
    <xf numFmtId="3" fontId="3" fillId="0" borderId="0" xfId="0" applyNumberFormat="1" applyFont="1"/>
    <xf numFmtId="3" fontId="5" fillId="0" borderId="1" xfId="0" applyNumberFormat="1" applyFont="1" applyBorder="1"/>
    <xf numFmtId="3" fontId="4" fillId="0" borderId="1" xfId="2" applyNumberFormat="1" applyFont="1" applyBorder="1" applyAlignment="1" applyProtection="1">
      <alignment horizontal="left"/>
      <protection locked="0"/>
    </xf>
    <xf numFmtId="3" fontId="2" fillId="0" borderId="1" xfId="0" applyNumberFormat="1" applyFont="1" applyBorder="1" applyAlignment="1">
      <alignment horizontal="left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left"/>
    </xf>
    <xf numFmtId="3" fontId="4" fillId="0" borderId="1" xfId="0" applyNumberFormat="1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/>
    <xf numFmtId="4" fontId="5" fillId="0" borderId="1" xfId="2" applyNumberFormat="1" applyFont="1" applyBorder="1" applyAlignment="1" applyProtection="1">
      <alignment horizontal="right"/>
      <protection locked="0"/>
    </xf>
    <xf numFmtId="4" fontId="3" fillId="2" borderId="1" xfId="2" applyNumberFormat="1" applyFont="1" applyFill="1" applyBorder="1" applyAlignment="1" applyProtection="1">
      <alignment horizontal="right"/>
      <protection locked="0"/>
    </xf>
    <xf numFmtId="3" fontId="3" fillId="0" borderId="1" xfId="1" applyNumberFormat="1" applyFont="1" applyBorder="1" applyAlignment="1" applyProtection="1">
      <alignment horizontal="left"/>
      <protection locked="0"/>
    </xf>
    <xf numFmtId="3" fontId="5" fillId="0" borderId="1" xfId="0" applyNumberFormat="1" applyFont="1" applyBorder="1" applyAlignment="1">
      <alignment horizontal="left"/>
    </xf>
    <xf numFmtId="3" fontId="5" fillId="0" borderId="1" xfId="2" applyNumberFormat="1" applyFont="1" applyBorder="1" applyAlignment="1" applyProtection="1">
      <alignment horizontal="left"/>
      <protection locked="0"/>
    </xf>
    <xf numFmtId="3" fontId="5" fillId="0" borderId="0" xfId="0" applyNumberFormat="1" applyFont="1"/>
    <xf numFmtId="3" fontId="5" fillId="0" borderId="1" xfId="0" applyNumberFormat="1" applyFont="1" applyBorder="1" applyAlignment="1" applyProtection="1">
      <alignment wrapText="1"/>
      <protection locked="0"/>
    </xf>
    <xf numFmtId="3" fontId="3" fillId="0" borderId="1" xfId="2" applyNumberFormat="1" applyFont="1" applyBorder="1" applyAlignment="1" applyProtection="1">
      <alignment horizontal="left"/>
      <protection locked="0"/>
    </xf>
    <xf numFmtId="3" fontId="2" fillId="0" borderId="1" xfId="2" applyNumberFormat="1" applyFont="1" applyBorder="1" applyAlignment="1" applyProtection="1">
      <alignment horizontal="left"/>
      <protection locked="0"/>
    </xf>
    <xf numFmtId="3" fontId="3" fillId="2" borderId="1" xfId="0" applyNumberFormat="1" applyFont="1" applyFill="1" applyBorder="1"/>
    <xf numFmtId="3" fontId="3" fillId="2" borderId="1" xfId="2" applyNumberFormat="1" applyFont="1" applyFill="1" applyBorder="1" applyAlignment="1" applyProtection="1">
      <alignment horizontal="left"/>
      <protection locked="0"/>
    </xf>
    <xf numFmtId="3" fontId="2" fillId="0" borderId="1" xfId="1" applyNumberFormat="1" applyFont="1" applyBorder="1" applyAlignment="1" applyProtection="1">
      <alignment horizontal="left"/>
      <protection locked="0"/>
    </xf>
    <xf numFmtId="3" fontId="3" fillId="2" borderId="1" xfId="0" applyNumberFormat="1" applyFont="1" applyFill="1" applyBorder="1" applyAlignment="1">
      <alignment horizontal="center"/>
    </xf>
    <xf numFmtId="3" fontId="2" fillId="0" borderId="1" xfId="0" applyNumberFormat="1" applyFont="1" applyBorder="1"/>
    <xf numFmtId="4" fontId="2" fillId="0" borderId="1" xfId="0" applyNumberFormat="1" applyFont="1" applyBorder="1"/>
    <xf numFmtId="0" fontId="12" fillId="0" borderId="1" xfId="0" applyFont="1" applyBorder="1" applyAlignment="1">
      <alignment vertical="top"/>
    </xf>
    <xf numFmtId="0" fontId="12" fillId="0" borderId="1" xfId="0" applyFont="1" applyBorder="1"/>
    <xf numFmtId="3" fontId="2" fillId="0" borderId="1" xfId="0" applyNumberFormat="1" applyFont="1" applyBorder="1" applyAlignment="1">
      <alignment horizontal="center" wrapText="1"/>
    </xf>
    <xf numFmtId="0" fontId="13" fillId="0" borderId="0" xfId="0" applyFont="1"/>
    <xf numFmtId="3" fontId="14" fillId="0" borderId="0" xfId="0" applyNumberFormat="1" applyFont="1"/>
    <xf numFmtId="3" fontId="13" fillId="0" borderId="0" xfId="0" applyNumberFormat="1" applyFont="1"/>
    <xf numFmtId="4" fontId="12" fillId="0" borderId="0" xfId="0" applyNumberFormat="1" applyFont="1" applyAlignment="1">
      <alignment horizontal="right"/>
    </xf>
    <xf numFmtId="4" fontId="12" fillId="0" borderId="0" xfId="0" applyNumberFormat="1" applyFont="1"/>
    <xf numFmtId="4" fontId="12" fillId="0" borderId="0" xfId="0" applyNumberFormat="1" applyFont="1" applyAlignment="1">
      <alignment wrapText="1"/>
    </xf>
    <xf numFmtId="4" fontId="13" fillId="0" borderId="0" xfId="0" applyNumberFormat="1" applyFont="1" applyAlignment="1">
      <alignment wrapText="1"/>
    </xf>
    <xf numFmtId="4" fontId="15" fillId="0" borderId="0" xfId="0" applyNumberFormat="1" applyFont="1" applyAlignment="1">
      <alignment wrapText="1"/>
    </xf>
    <xf numFmtId="4" fontId="13" fillId="0" borderId="0" xfId="0" applyNumberFormat="1" applyFont="1"/>
    <xf numFmtId="4" fontId="13" fillId="0" borderId="0" xfId="0" applyNumberFormat="1" applyFont="1" applyAlignment="1">
      <alignment horizontal="right" wrapText="1"/>
    </xf>
    <xf numFmtId="4" fontId="13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3" fontId="16" fillId="0" borderId="0" xfId="0" applyNumberFormat="1" applyFont="1"/>
    <xf numFmtId="43" fontId="12" fillId="0" borderId="0" xfId="6" applyFont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8">
    <cellStyle name="Comma 2" xfId="7" xr:uid="{68AF3142-48B6-46A0-9B66-4AC016C8CCBB}"/>
    <cellStyle name="Koma" xfId="6" builtinId="3"/>
    <cellStyle name="Normaallaad" xfId="0" builtinId="0"/>
    <cellStyle name="Normaallaad 2" xfId="5" xr:uid="{625F7053-1720-45B8-BC60-DA405838C2BD}"/>
    <cellStyle name="Normal 10 2" xfId="1" xr:uid="{D70F4CDE-1FE7-448C-B78C-16802263EF7D}"/>
    <cellStyle name="Normal 25 3 6" xfId="4" xr:uid="{C2461F04-5869-445E-B9DC-9D0918BE1F25}"/>
    <cellStyle name="Normal 25 9" xfId="2" xr:uid="{8906365B-27A6-4989-AF6D-1E0C5258DC94}"/>
    <cellStyle name="Normal 25 9 2" xfId="3" xr:uid="{9FD4BB3A-C968-4E24-8E39-E7D1D70EBE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09F5C-00A4-4BD3-B743-9BFC60E719C1}">
  <dimension ref="A1:I110"/>
  <sheetViews>
    <sheetView tabSelected="1" zoomScaleNormal="100" workbookViewId="0">
      <selection activeCell="A22" sqref="A22"/>
    </sheetView>
  </sheetViews>
  <sheetFormatPr defaultRowHeight="14.5" x14ac:dyDescent="0.35"/>
  <cols>
    <col min="1" max="1" width="7.453125" customWidth="1"/>
    <col min="2" max="2" width="40.54296875" customWidth="1"/>
    <col min="3" max="4" width="15" style="1" customWidth="1"/>
    <col min="5" max="5" width="15.36328125" style="1" customWidth="1"/>
    <col min="6" max="6" width="15.90625" style="1" customWidth="1"/>
    <col min="7" max="7" width="18.08984375" style="1" customWidth="1"/>
    <col min="9" max="9" width="13.1796875" bestFit="1" customWidth="1"/>
  </cols>
  <sheetData>
    <row r="1" spans="1:9" ht="15.5" x14ac:dyDescent="0.35">
      <c r="A1" s="28" t="s">
        <v>116</v>
      </c>
      <c r="B1" s="57"/>
      <c r="C1" s="58"/>
      <c r="D1" s="59"/>
      <c r="E1" s="59"/>
      <c r="F1" s="59"/>
      <c r="G1" s="29"/>
    </row>
    <row r="2" spans="1:9" ht="15.5" x14ac:dyDescent="0.35">
      <c r="A2" s="57" t="s">
        <v>0</v>
      </c>
      <c r="B2" s="57"/>
      <c r="C2" s="58"/>
      <c r="D2" s="59"/>
      <c r="E2" s="59"/>
      <c r="F2" s="59"/>
      <c r="G2" s="29"/>
    </row>
    <row r="3" spans="1:9" ht="54.75" customHeight="1" x14ac:dyDescent="0.35">
      <c r="A3" s="71" t="s">
        <v>105</v>
      </c>
      <c r="B3" s="72"/>
      <c r="C3" s="56" t="s">
        <v>1</v>
      </c>
      <c r="D3" s="56" t="s">
        <v>2</v>
      </c>
      <c r="E3" s="56" t="s">
        <v>117</v>
      </c>
      <c r="F3" s="56" t="s">
        <v>74</v>
      </c>
      <c r="G3" s="56" t="s">
        <v>3</v>
      </c>
    </row>
    <row r="4" spans="1:9" ht="15.5" x14ac:dyDescent="0.35">
      <c r="A4" s="32" t="s">
        <v>10</v>
      </c>
      <c r="B4" s="32"/>
      <c r="C4" s="8">
        <f t="shared" ref="C4:E4" si="0">SUM(C5:C11)</f>
        <v>235140115</v>
      </c>
      <c r="D4" s="8">
        <f t="shared" si="0"/>
        <v>235346145</v>
      </c>
      <c r="E4" s="8">
        <f t="shared" si="0"/>
        <v>170728602.5</v>
      </c>
      <c r="F4" s="8">
        <f>SUM(F5:F11)</f>
        <v>179622558.27000001</v>
      </c>
      <c r="G4" s="8">
        <f>SUM(G5:G11)</f>
        <v>-64617542.499999993</v>
      </c>
    </row>
    <row r="5" spans="1:9" ht="15.5" x14ac:dyDescent="0.35">
      <c r="A5" s="41"/>
      <c r="B5" s="41" t="s">
        <v>5</v>
      </c>
      <c r="C5" s="7">
        <v>61000</v>
      </c>
      <c r="D5" s="7">
        <f t="shared" ref="D5:D10" si="1">C5</f>
        <v>61000</v>
      </c>
      <c r="E5" s="7">
        <v>69089.05</v>
      </c>
      <c r="F5" s="7">
        <v>73392</v>
      </c>
      <c r="G5" s="7">
        <f t="shared" ref="G5:G11" si="2">E5-D5</f>
        <v>8089.0500000000029</v>
      </c>
    </row>
    <row r="6" spans="1:9" ht="15.5" x14ac:dyDescent="0.35">
      <c r="A6" s="41"/>
      <c r="B6" s="41" t="s">
        <v>78</v>
      </c>
      <c r="C6" s="7">
        <v>10437400</v>
      </c>
      <c r="D6" s="7">
        <f>C6-123118</f>
        <v>10314282</v>
      </c>
      <c r="E6" s="7">
        <f>13659975.53+186385.78-24529.94</f>
        <v>13821831.369999999</v>
      </c>
      <c r="F6" s="7">
        <f>13517894.53+193589.42+3909.09</f>
        <v>13715393.039999999</v>
      </c>
      <c r="G6" s="7">
        <f t="shared" si="2"/>
        <v>3507549.3699999992</v>
      </c>
    </row>
    <row r="7" spans="1:9" ht="15.5" x14ac:dyDescent="0.35">
      <c r="A7" s="41"/>
      <c r="B7" s="41" t="s">
        <v>4</v>
      </c>
      <c r="C7" s="7">
        <v>224598715</v>
      </c>
      <c r="D7" s="7">
        <f>C7+129148</f>
        <v>224727863</v>
      </c>
      <c r="E7" s="7">
        <f>256068672.37-99089817.53-447615.3-19368.92</f>
        <v>156511870.62</v>
      </c>
      <c r="F7" s="7">
        <f>254975888.76-426035.47-88283258.37-479911.34-162260.7</f>
        <v>165624422.88</v>
      </c>
      <c r="G7" s="7">
        <f t="shared" si="2"/>
        <v>-68215992.379999995</v>
      </c>
    </row>
    <row r="8" spans="1:9" ht="15.5" x14ac:dyDescent="0.35">
      <c r="A8" s="41"/>
      <c r="B8" s="41" t="s">
        <v>83</v>
      </c>
      <c r="C8" s="7">
        <v>0</v>
      </c>
      <c r="D8" s="7">
        <v>200000</v>
      </c>
      <c r="E8" s="7">
        <v>104542.93</v>
      </c>
      <c r="F8" s="7">
        <f>17532.99-1144.21</f>
        <v>16388.780000000002</v>
      </c>
      <c r="G8" s="7">
        <f t="shared" si="2"/>
        <v>-95457.07</v>
      </c>
    </row>
    <row r="9" spans="1:9" ht="15.5" x14ac:dyDescent="0.35">
      <c r="A9" s="41"/>
      <c r="B9" s="41" t="s">
        <v>6</v>
      </c>
      <c r="C9" s="7">
        <v>0</v>
      </c>
      <c r="D9" s="7">
        <f t="shared" si="1"/>
        <v>0</v>
      </c>
      <c r="E9" s="7">
        <v>-58</v>
      </c>
      <c r="F9" s="7">
        <v>-140</v>
      </c>
      <c r="G9" s="7">
        <f t="shared" si="2"/>
        <v>-58</v>
      </c>
    </row>
    <row r="10" spans="1:9" ht="15.5" x14ac:dyDescent="0.35">
      <c r="A10" s="41"/>
      <c r="B10" s="41" t="s">
        <v>69</v>
      </c>
      <c r="C10" s="7">
        <v>29000</v>
      </c>
      <c r="D10" s="7">
        <f t="shared" si="1"/>
        <v>29000</v>
      </c>
      <c r="E10" s="7">
        <v>222198.97</v>
      </c>
      <c r="F10" s="7">
        <f>2837.52-309.49+95653.25+83577.46</f>
        <v>181758.74</v>
      </c>
      <c r="G10" s="7">
        <f t="shared" si="2"/>
        <v>193198.97</v>
      </c>
    </row>
    <row r="11" spans="1:9" ht="15.5" x14ac:dyDescent="0.35">
      <c r="A11" s="59"/>
      <c r="B11" s="41" t="s">
        <v>7</v>
      </c>
      <c r="C11" s="7">
        <v>14000</v>
      </c>
      <c r="D11" s="7">
        <f>C11</f>
        <v>14000</v>
      </c>
      <c r="E11" s="7">
        <v>-872.44</v>
      </c>
      <c r="F11" s="7">
        <v>11342.83</v>
      </c>
      <c r="G11" s="7">
        <f t="shared" si="2"/>
        <v>-14872.44</v>
      </c>
    </row>
    <row r="12" spans="1:9" ht="15.5" x14ac:dyDescent="0.35">
      <c r="A12" s="31" t="s">
        <v>11</v>
      </c>
      <c r="B12" s="31"/>
      <c r="C12" s="8">
        <f>C14+C24+C56+C68+C74+C93</f>
        <v>-1026750174</v>
      </c>
      <c r="D12" s="8">
        <f>D14+D24+D56+D68+D74</f>
        <v>-1143938884</v>
      </c>
      <c r="E12" s="8">
        <f>E14+E24+E56+E68+E74</f>
        <v>-935550839.98000002</v>
      </c>
      <c r="F12" s="8">
        <f>F14+F24+F56+F68+F74+F93</f>
        <v>-838558289.18000007</v>
      </c>
      <c r="G12" s="8">
        <f>G14+G24+G56+G68+G74+G93</f>
        <v>208388044.02000001</v>
      </c>
      <c r="I12" s="1"/>
    </row>
    <row r="13" spans="1:9" ht="15.5" x14ac:dyDescent="0.35">
      <c r="A13" s="42"/>
      <c r="B13" s="43" t="s">
        <v>8</v>
      </c>
      <c r="C13" s="7">
        <f>C15+C25+C57+C69+C94</f>
        <v>-781125896</v>
      </c>
      <c r="D13" s="7">
        <f>D15+D25+D57+D69</f>
        <v>-853530969.29999995</v>
      </c>
      <c r="E13" s="7">
        <f>E15+E25+E57+E69</f>
        <v>-753838570.06999993</v>
      </c>
      <c r="F13" s="7">
        <f>F15+F25+F57+F69+F94</f>
        <v>-657100532.59952009</v>
      </c>
      <c r="G13" s="7">
        <f>G15+G25+G57+G69+G94</f>
        <v>99692399.230000004</v>
      </c>
    </row>
    <row r="14" spans="1:9" ht="15.5" x14ac:dyDescent="0.35">
      <c r="A14" s="35" t="s">
        <v>22</v>
      </c>
      <c r="B14" s="35"/>
      <c r="C14" s="8">
        <f t="shared" ref="C14:E15" si="3">C18+C20+C22</f>
        <v>-10517851</v>
      </c>
      <c r="D14" s="8">
        <f t="shared" si="3"/>
        <v>-10141476.33</v>
      </c>
      <c r="E14" s="8">
        <f t="shared" si="3"/>
        <v>-7958848.1099999994</v>
      </c>
      <c r="F14" s="8">
        <f t="shared" ref="F14" si="4">F18+F20+F22</f>
        <v>-6158287.1000000006</v>
      </c>
      <c r="G14" s="8">
        <f>G18+G20+G22</f>
        <v>2182628.2200000007</v>
      </c>
    </row>
    <row r="15" spans="1:9" ht="15.5" x14ac:dyDescent="0.35">
      <c r="A15" s="42"/>
      <c r="B15" s="42" t="s">
        <v>8</v>
      </c>
      <c r="C15" s="7">
        <f t="shared" si="3"/>
        <v>-8230961</v>
      </c>
      <c r="D15" s="7">
        <f t="shared" si="3"/>
        <v>-9134889.1500000004</v>
      </c>
      <c r="E15" s="7">
        <f t="shared" si="3"/>
        <v>-7300040.8100000005</v>
      </c>
      <c r="F15" s="7">
        <f t="shared" ref="F15" si="5">F19+F21+F23</f>
        <v>-5734595.1300000008</v>
      </c>
      <c r="G15" s="7">
        <f>G19+G21+G23</f>
        <v>1834848.3400000008</v>
      </c>
    </row>
    <row r="16" spans="1:9" ht="15.5" x14ac:dyDescent="0.35">
      <c r="A16" s="35" t="s">
        <v>23</v>
      </c>
      <c r="B16" s="35"/>
      <c r="C16" s="8">
        <f>C18+C20+C22</f>
        <v>-10517851</v>
      </c>
      <c r="D16" s="8">
        <f t="shared" ref="D16:G16" si="6">D18+D20+D22</f>
        <v>-10141476.33</v>
      </c>
      <c r="E16" s="8">
        <f t="shared" si="6"/>
        <v>-7958848.1099999994</v>
      </c>
      <c r="F16" s="8">
        <f t="shared" ref="F16" si="7">F18+F20+F22</f>
        <v>-6158287.1000000006</v>
      </c>
      <c r="G16" s="8">
        <f t="shared" si="6"/>
        <v>2182628.2200000007</v>
      </c>
    </row>
    <row r="17" spans="1:7" ht="15.5" x14ac:dyDescent="0.35">
      <c r="A17" s="35"/>
      <c r="B17" s="43" t="s">
        <v>8</v>
      </c>
      <c r="C17" s="7">
        <f>C19+C21+C23</f>
        <v>-8230961</v>
      </c>
      <c r="D17" s="7">
        <f t="shared" ref="D17:G17" si="8">D19+D21+D23</f>
        <v>-9134889.1500000004</v>
      </c>
      <c r="E17" s="7">
        <f t="shared" si="8"/>
        <v>-7300040.8100000005</v>
      </c>
      <c r="F17" s="7">
        <f t="shared" ref="F17" si="9">F19+F21+F23</f>
        <v>-5734595.1300000008</v>
      </c>
      <c r="G17" s="7">
        <f t="shared" si="8"/>
        <v>1834848.3400000008</v>
      </c>
    </row>
    <row r="18" spans="1:7" ht="15.5" x14ac:dyDescent="0.35">
      <c r="A18" s="42" t="s">
        <v>84</v>
      </c>
      <c r="B18" s="42"/>
      <c r="C18" s="7">
        <v>-994353</v>
      </c>
      <c r="D18" s="7">
        <f>C18-1947-10336</f>
        <v>-1006636</v>
      </c>
      <c r="E18" s="7">
        <f>E19</f>
        <v>-930863.36</v>
      </c>
      <c r="F18" s="7">
        <f>-708355.15</f>
        <v>-708355.15</v>
      </c>
      <c r="G18" s="7">
        <f t="shared" ref="G18:G23" si="10">E18-D18</f>
        <v>75772.640000000014</v>
      </c>
    </row>
    <row r="19" spans="1:7" ht="15.5" x14ac:dyDescent="0.35">
      <c r="A19" s="42"/>
      <c r="B19" s="43" t="s">
        <v>8</v>
      </c>
      <c r="C19" s="7">
        <v>-994353</v>
      </c>
      <c r="D19" s="7">
        <f>C19-1947-10336</f>
        <v>-1006636</v>
      </c>
      <c r="E19" s="7">
        <v>-930863.36</v>
      </c>
      <c r="F19" s="7">
        <v>-708355.15</v>
      </c>
      <c r="G19" s="7">
        <f t="shared" si="10"/>
        <v>75772.640000000014</v>
      </c>
    </row>
    <row r="20" spans="1:7" ht="15.5" x14ac:dyDescent="0.35">
      <c r="A20" s="43" t="s">
        <v>85</v>
      </c>
      <c r="B20" s="43"/>
      <c r="C20" s="7">
        <v>-5254398</v>
      </c>
      <c r="D20" s="7">
        <f>C20+85000-744547.54</f>
        <v>-5913945.54</v>
      </c>
      <c r="E20" s="30">
        <f>E21-471218.72</f>
        <v>-4722739.9399999995</v>
      </c>
      <c r="F20" s="30">
        <f>-3395855.45-13864.43-405267.43+13864.43</f>
        <v>-3801122.8800000004</v>
      </c>
      <c r="G20" s="7">
        <f t="shared" si="10"/>
        <v>1191205.6000000006</v>
      </c>
    </row>
    <row r="21" spans="1:7" ht="15.5" x14ac:dyDescent="0.35">
      <c r="A21" s="42"/>
      <c r="B21" s="43" t="s">
        <v>8</v>
      </c>
      <c r="C21" s="7">
        <v>-4732108</v>
      </c>
      <c r="D21" s="7">
        <f>C21-687179.15</f>
        <v>-5419287.1500000004</v>
      </c>
      <c r="E21" s="30">
        <v>-4251521.22</v>
      </c>
      <c r="F21" s="30">
        <f>-3395855.45-13864.43</f>
        <v>-3409719.8800000004</v>
      </c>
      <c r="G21" s="7">
        <f t="shared" si="10"/>
        <v>1167765.9300000006</v>
      </c>
    </row>
    <row r="22" spans="1:7" ht="15.5" x14ac:dyDescent="0.35">
      <c r="A22" s="42" t="s">
        <v>86</v>
      </c>
      <c r="B22" s="42"/>
      <c r="C22" s="7">
        <v>-4269100</v>
      </c>
      <c r="D22" s="7">
        <f>C22+1704600-656394.79</f>
        <v>-3220894.79</v>
      </c>
      <c r="E22" s="30">
        <f>E23-187588.58</f>
        <v>-2305244.81</v>
      </c>
      <c r="F22" s="7">
        <f>-1593284.34-23235.76-32288.97</f>
        <v>-1648809.07</v>
      </c>
      <c r="G22" s="7">
        <f t="shared" si="10"/>
        <v>915649.98</v>
      </c>
    </row>
    <row r="23" spans="1:7" ht="15.5" x14ac:dyDescent="0.35">
      <c r="A23" s="42"/>
      <c r="B23" s="43" t="s">
        <v>8</v>
      </c>
      <c r="C23" s="7">
        <v>-2504500</v>
      </c>
      <c r="D23" s="7">
        <f>C23-204466</f>
        <v>-2708966</v>
      </c>
      <c r="E23" s="30">
        <v>-2117656.23</v>
      </c>
      <c r="F23" s="30">
        <f>-1593284.34-23235.76</f>
        <v>-1616520.1</v>
      </c>
      <c r="G23" s="7">
        <f t="shared" si="10"/>
        <v>591309.77</v>
      </c>
    </row>
    <row r="24" spans="1:7" ht="15.5" x14ac:dyDescent="0.35">
      <c r="A24" s="35" t="s">
        <v>18</v>
      </c>
      <c r="B24" s="35"/>
      <c r="C24" s="8">
        <f t="shared" ref="C24:G25" si="11">C28+C30+C32+C34+C36+C38+C40+C42+C44+C46+C48+C50+C52+C54</f>
        <v>-766251491</v>
      </c>
      <c r="D24" s="8">
        <f t="shared" si="11"/>
        <v>-873291144.07000017</v>
      </c>
      <c r="E24" s="8">
        <f t="shared" si="11"/>
        <v>-704346735.74000001</v>
      </c>
      <c r="F24" s="8">
        <f t="shared" si="11"/>
        <v>-616297362.04000008</v>
      </c>
      <c r="G24" s="8">
        <f t="shared" si="11"/>
        <v>168944408.33000001</v>
      </c>
    </row>
    <row r="25" spans="1:7" ht="15.5" x14ac:dyDescent="0.35">
      <c r="A25" s="42"/>
      <c r="B25" s="42" t="s">
        <v>8</v>
      </c>
      <c r="C25" s="7">
        <f t="shared" si="11"/>
        <v>-583076051</v>
      </c>
      <c r="D25" s="7">
        <f t="shared" si="11"/>
        <v>-629852499.91999996</v>
      </c>
      <c r="E25" s="7">
        <f t="shared" si="11"/>
        <v>-563149034.53999996</v>
      </c>
      <c r="F25" s="7">
        <f t="shared" si="11"/>
        <v>-499381057.47952014</v>
      </c>
      <c r="G25" s="7">
        <f t="shared" si="11"/>
        <v>66703465.380000003</v>
      </c>
    </row>
    <row r="26" spans="1:7" ht="15.5" x14ac:dyDescent="0.35">
      <c r="A26" s="35" t="s">
        <v>19</v>
      </c>
      <c r="B26" s="35"/>
      <c r="C26" s="8">
        <f t="shared" ref="C26:G27" si="12">C28+C30+C32+C34+C36+C38+C40+C42+C44+C46+C48+C50+C52+C54</f>
        <v>-766251491</v>
      </c>
      <c r="D26" s="8">
        <f t="shared" si="12"/>
        <v>-873291144.07000017</v>
      </c>
      <c r="E26" s="8">
        <f t="shared" si="12"/>
        <v>-704346735.74000001</v>
      </c>
      <c r="F26" s="8">
        <f t="shared" si="12"/>
        <v>-616297362.04000008</v>
      </c>
      <c r="G26" s="8">
        <f t="shared" si="12"/>
        <v>168944408.33000001</v>
      </c>
    </row>
    <row r="27" spans="1:7" ht="15.5" x14ac:dyDescent="0.35">
      <c r="A27" s="35"/>
      <c r="B27" s="43" t="s">
        <v>8</v>
      </c>
      <c r="C27" s="7">
        <f t="shared" si="12"/>
        <v>-583076051</v>
      </c>
      <c r="D27" s="7">
        <f t="shared" si="12"/>
        <v>-629852499.91999996</v>
      </c>
      <c r="E27" s="7">
        <f t="shared" si="12"/>
        <v>-563149034.53999996</v>
      </c>
      <c r="F27" s="7">
        <f t="shared" si="12"/>
        <v>-499381057.47952014</v>
      </c>
      <c r="G27" s="7">
        <f t="shared" si="12"/>
        <v>66703465.380000003</v>
      </c>
    </row>
    <row r="28" spans="1:7" ht="15.5" x14ac:dyDescent="0.35">
      <c r="A28" s="42" t="s">
        <v>87</v>
      </c>
      <c r="B28" s="42"/>
      <c r="C28" s="7">
        <v>-67688719</v>
      </c>
      <c r="D28" s="7">
        <f>C28+1947+142491+43492454-39285315.72</f>
        <v>-63337142.719999999</v>
      </c>
      <c r="E28" s="30">
        <f>E29-36902598.41</f>
        <v>-59133706.739999995</v>
      </c>
      <c r="F28" s="30">
        <f>-25040269.79-20250588.9</f>
        <v>-45290858.689999998</v>
      </c>
      <c r="G28" s="7">
        <f>E28-D28</f>
        <v>4203435.9800000042</v>
      </c>
    </row>
    <row r="29" spans="1:7" ht="15.5" x14ac:dyDescent="0.35">
      <c r="A29" s="42"/>
      <c r="B29" s="43" t="s">
        <v>8</v>
      </c>
      <c r="C29" s="7">
        <v>-24196265</v>
      </c>
      <c r="D29" s="7">
        <f>C29+1947+142491-1918591</f>
        <v>-25970418</v>
      </c>
      <c r="E29" s="30">
        <v>-22231108.329999998</v>
      </c>
      <c r="F29" s="30">
        <f>-20250588.9</f>
        <v>-20250588.899999999</v>
      </c>
      <c r="G29" s="7">
        <f>E29-D29</f>
        <v>3739309.6700000018</v>
      </c>
    </row>
    <row r="30" spans="1:7" ht="15.5" x14ac:dyDescent="0.35">
      <c r="A30" s="43" t="s">
        <v>118</v>
      </c>
      <c r="B30" s="58"/>
      <c r="C30" s="7">
        <v>-264720328</v>
      </c>
      <c r="D30" s="7">
        <f>C30+112770-1503425+7483991-45950895.3</f>
        <v>-304577887.30000001</v>
      </c>
      <c r="E30" s="30">
        <f>E31-27748786.31</f>
        <v>-269665749.02999997</v>
      </c>
      <c r="F30" s="30">
        <f>-146462105.59+26583.66-4899983.49-26583.66-103191311.16</f>
        <v>-254553400.24000001</v>
      </c>
      <c r="G30" s="7">
        <f>E30-D30</f>
        <v>34912138.270000041</v>
      </c>
    </row>
    <row r="31" spans="1:7" ht="15.5" x14ac:dyDescent="0.35">
      <c r="A31" s="43"/>
      <c r="B31" s="43" t="s">
        <v>8</v>
      </c>
      <c r="C31" s="7">
        <v>-243340292</v>
      </c>
      <c r="D31" s="7">
        <f>C31+320247-1503425-28250974.37</f>
        <v>-272774444.37</v>
      </c>
      <c r="E31" s="30">
        <v>-241916962.72</v>
      </c>
      <c r="F31" s="30">
        <f>-146462105.59+26583.66-83056301.87</f>
        <v>-229491823.80000001</v>
      </c>
      <c r="G31" s="7">
        <f>E31-D31</f>
        <v>30857481.650000006</v>
      </c>
    </row>
    <row r="32" spans="1:7" ht="15.5" x14ac:dyDescent="0.35">
      <c r="A32" s="43" t="s">
        <v>134</v>
      </c>
      <c r="B32" s="58"/>
      <c r="C32" s="7">
        <v>-242560441</v>
      </c>
      <c r="D32" s="7">
        <f>C32+1260000+300000+1118000-11202512.2</f>
        <v>-251084953.19999999</v>
      </c>
      <c r="E32" s="30">
        <f>E33-6210732.6</f>
        <v>-242620631.22</v>
      </c>
      <c r="F32" s="38">
        <f>-203028547.61-7126906.61</f>
        <v>-210155454.22000003</v>
      </c>
      <c r="G32" s="7">
        <f t="shared" ref="G32:G55" si="13">E32-D32</f>
        <v>8464321.9799999893</v>
      </c>
    </row>
    <row r="33" spans="1:7" ht="15.5" x14ac:dyDescent="0.35">
      <c r="A33" s="43"/>
      <c r="B33" s="43" t="s">
        <v>8</v>
      </c>
      <c r="C33" s="7">
        <v>-235433991</v>
      </c>
      <c r="D33" s="7">
        <f>C33+1260000+300000-5865375</f>
        <v>-239739366</v>
      </c>
      <c r="E33" s="30">
        <v>-236409898.62</v>
      </c>
      <c r="F33" s="38">
        <f>-203028547.61</f>
        <v>-203028547.61000001</v>
      </c>
      <c r="G33" s="7">
        <f t="shared" si="13"/>
        <v>3329467.3799999952</v>
      </c>
    </row>
    <row r="34" spans="1:7" ht="15.5" x14ac:dyDescent="0.35">
      <c r="A34" s="43" t="s">
        <v>88</v>
      </c>
      <c r="B34" s="58"/>
      <c r="C34" s="7">
        <v>-15189258</v>
      </c>
      <c r="D34" s="7">
        <f>C34+15038258-8590026.73</f>
        <v>-8741026.7300000004</v>
      </c>
      <c r="E34" s="30">
        <f>E35-5660722.72</f>
        <v>-5753318.2000000002</v>
      </c>
      <c r="F34" s="38">
        <f>-151000-6018026.8</f>
        <v>-6169026.7999999998</v>
      </c>
      <c r="G34" s="7">
        <f t="shared" si="13"/>
        <v>2987708.5300000003</v>
      </c>
    </row>
    <row r="35" spans="1:7" ht="15.5" x14ac:dyDescent="0.35">
      <c r="A35" s="43"/>
      <c r="B35" s="43" t="s">
        <v>8</v>
      </c>
      <c r="C35" s="7">
        <v>-151000</v>
      </c>
      <c r="D35" s="7">
        <f t="shared" ref="D35:D51" si="14">C35</f>
        <v>-151000</v>
      </c>
      <c r="E35" s="30">
        <v>-92595.48</v>
      </c>
      <c r="F35" s="38">
        <f>-151000.02</f>
        <v>-151000.01999999999</v>
      </c>
      <c r="G35" s="7">
        <f t="shared" si="13"/>
        <v>58404.520000000004</v>
      </c>
    </row>
    <row r="36" spans="1:7" ht="15.5" x14ac:dyDescent="0.35">
      <c r="A36" s="43" t="s">
        <v>89</v>
      </c>
      <c r="B36" s="58"/>
      <c r="C36" s="7">
        <v>-36328271</v>
      </c>
      <c r="D36" s="7">
        <f>C36-200000+34462960-110775105.99</f>
        <v>-112840416.98999999</v>
      </c>
      <c r="E36" s="30">
        <f>E37-37185394.78</f>
        <v>-39428283.530000001</v>
      </c>
      <c r="F36" s="38">
        <f>-1913679.1-28934191.98</f>
        <v>-30847871.080000002</v>
      </c>
      <c r="G36" s="7">
        <f t="shared" si="13"/>
        <v>73412133.459999993</v>
      </c>
    </row>
    <row r="37" spans="1:7" ht="15.5" x14ac:dyDescent="0.35">
      <c r="A37" s="43"/>
      <c r="B37" s="43" t="s">
        <v>8</v>
      </c>
      <c r="C37" s="7">
        <v>-1865311</v>
      </c>
      <c r="D37" s="7">
        <f>C37-200000-343509.95</f>
        <v>-2408820.9500000002</v>
      </c>
      <c r="E37" s="30">
        <v>-2242888.75</v>
      </c>
      <c r="F37" s="38">
        <f>-1913679.1</f>
        <v>-1913679.1</v>
      </c>
      <c r="G37" s="7">
        <f t="shared" si="13"/>
        <v>165932.20000000019</v>
      </c>
    </row>
    <row r="38" spans="1:7" ht="15.5" x14ac:dyDescent="0.35">
      <c r="A38" s="43" t="s">
        <v>90</v>
      </c>
      <c r="B38" s="58"/>
      <c r="C38" s="7">
        <v>-33273786</v>
      </c>
      <c r="D38" s="7">
        <f>C38-1472000+32784+10876373-11315902.84</f>
        <v>-35152531.840000004</v>
      </c>
      <c r="E38" s="30">
        <f>E39-10155509.56</f>
        <v>-28666356.649999999</v>
      </c>
      <c r="F38" s="38">
        <f>-16281643.32-7652753.87</f>
        <v>-23934397.190000001</v>
      </c>
      <c r="G38" s="7">
        <f t="shared" si="13"/>
        <v>6486175.1900000051</v>
      </c>
    </row>
    <row r="39" spans="1:7" ht="15.5" x14ac:dyDescent="0.35">
      <c r="A39" s="43"/>
      <c r="B39" s="43" t="s">
        <v>8</v>
      </c>
      <c r="C39" s="7">
        <v>-19460148</v>
      </c>
      <c r="D39" s="7">
        <f>C39-1472000+32784-3292167.04</f>
        <v>-24191531.039999999</v>
      </c>
      <c r="E39" s="30">
        <v>-18510847.09</v>
      </c>
      <c r="F39" s="38">
        <f>-16281643.32</f>
        <v>-16281643.32</v>
      </c>
      <c r="G39" s="7">
        <f t="shared" si="13"/>
        <v>5680683.9499999993</v>
      </c>
    </row>
    <row r="40" spans="1:7" ht="15.5" x14ac:dyDescent="0.35">
      <c r="A40" s="43" t="s">
        <v>91</v>
      </c>
      <c r="B40" s="58"/>
      <c r="C40" s="7">
        <v>-55185397</v>
      </c>
      <c r="D40" s="7">
        <f>C40+1400000+10605397-10541701.46</f>
        <v>-53721701.460000001</v>
      </c>
      <c r="E40" s="30">
        <f>E41-4269401.67</f>
        <v>-33607821.350000001</v>
      </c>
      <c r="F40" s="38">
        <f>-14210753.98-3579630.1</f>
        <v>-17790384.080000002</v>
      </c>
      <c r="G40" s="7">
        <f t="shared" si="13"/>
        <v>20113880.109999999</v>
      </c>
    </row>
    <row r="41" spans="1:7" ht="15.5" x14ac:dyDescent="0.35">
      <c r="A41" s="43"/>
      <c r="B41" s="43" t="s">
        <v>8</v>
      </c>
      <c r="C41" s="7">
        <v>-44580000</v>
      </c>
      <c r="D41" s="7">
        <f>C41+1400000-5091046</f>
        <v>-48271046</v>
      </c>
      <c r="E41" s="44">
        <v>-29338419.68</v>
      </c>
      <c r="F41" s="38">
        <v>-14210753.979520001</v>
      </c>
      <c r="G41" s="7">
        <f t="shared" si="13"/>
        <v>18932626.32</v>
      </c>
    </row>
    <row r="42" spans="1:7" ht="15.5" x14ac:dyDescent="0.35">
      <c r="A42" s="43" t="s">
        <v>92</v>
      </c>
      <c r="B42" s="58"/>
      <c r="C42" s="7">
        <v>-6543093</v>
      </c>
      <c r="D42" s="7">
        <f>C42+2256093-1028918.85</f>
        <v>-5315918.8499999996</v>
      </c>
      <c r="E42" s="30">
        <f>E43-3318989.55</f>
        <v>-3937442.75</v>
      </c>
      <c r="F42" s="38">
        <f>-661024.44-4001690.25</f>
        <v>-4662714.6899999995</v>
      </c>
      <c r="G42" s="7">
        <f t="shared" si="13"/>
        <v>1378476.0999999996</v>
      </c>
    </row>
    <row r="43" spans="1:7" ht="15.5" x14ac:dyDescent="0.35">
      <c r="A43" s="43"/>
      <c r="B43" s="43" t="s">
        <v>8</v>
      </c>
      <c r="C43" s="7">
        <v>-587000</v>
      </c>
      <c r="D43" s="7">
        <f>C43-120804</f>
        <v>-707804</v>
      </c>
      <c r="E43" s="30">
        <v>-618453.19999999995</v>
      </c>
      <c r="F43" s="38">
        <f>-661024.44</f>
        <v>-661024.43999999994</v>
      </c>
      <c r="G43" s="7">
        <f t="shared" si="13"/>
        <v>89350.800000000047</v>
      </c>
    </row>
    <row r="44" spans="1:7" ht="15.5" x14ac:dyDescent="0.35">
      <c r="A44" s="43" t="s">
        <v>93</v>
      </c>
      <c r="B44" s="58"/>
      <c r="C44" s="7">
        <v>-3419732</v>
      </c>
      <c r="D44" s="7">
        <f>C44+2032000-1822576.34</f>
        <v>-3210308.34</v>
      </c>
      <c r="E44" s="30">
        <f>E45-1780158.91</f>
        <v>-3158890.91</v>
      </c>
      <c r="F44" s="38">
        <f>-1348732-1043407.06+81336.28</f>
        <v>-2310802.7800000003</v>
      </c>
      <c r="G44" s="7">
        <f t="shared" si="13"/>
        <v>51417.429999999702</v>
      </c>
    </row>
    <row r="45" spans="1:7" ht="15.5" x14ac:dyDescent="0.35">
      <c r="A45" s="43"/>
      <c r="B45" s="43" t="s">
        <v>8</v>
      </c>
      <c r="C45" s="7">
        <v>-1387732</v>
      </c>
      <c r="D45" s="7">
        <f t="shared" si="14"/>
        <v>-1387732</v>
      </c>
      <c r="E45" s="30">
        <v>-1378732</v>
      </c>
      <c r="F45" s="38">
        <f>-1348732</f>
        <v>-1348732</v>
      </c>
      <c r="G45" s="7">
        <f t="shared" si="13"/>
        <v>9000</v>
      </c>
    </row>
    <row r="46" spans="1:7" ht="15.5" x14ac:dyDescent="0.35">
      <c r="A46" s="43" t="s">
        <v>94</v>
      </c>
      <c r="B46" s="58"/>
      <c r="C46" s="7">
        <v>-28218995</v>
      </c>
      <c r="D46" s="7">
        <f>C46+22175533-14035741.86</f>
        <v>-20079203.859999999</v>
      </c>
      <c r="E46" s="30">
        <f>E47-3836679.11</f>
        <v>-8637030.5399999991</v>
      </c>
      <c r="F46" s="38">
        <f>-6183574.85-355000.19-5248789.94+273663.92</f>
        <v>-11513701.060000001</v>
      </c>
      <c r="G46" s="7">
        <f t="shared" si="13"/>
        <v>11442173.32</v>
      </c>
    </row>
    <row r="47" spans="1:7" ht="15.5" x14ac:dyDescent="0.35">
      <c r="A47" s="43"/>
      <c r="B47" s="43" t="s">
        <v>8</v>
      </c>
      <c r="C47" s="7">
        <v>-6043462</v>
      </c>
      <c r="D47" s="7">
        <f>C47-1399055</f>
        <v>-7442517</v>
      </c>
      <c r="E47" s="44">
        <v>-4800351.43</v>
      </c>
      <c r="F47" s="38">
        <f>-6183574.85-355000.19</f>
        <v>-6538575.04</v>
      </c>
      <c r="G47" s="7">
        <f t="shared" si="13"/>
        <v>2642165.5700000003</v>
      </c>
    </row>
    <row r="48" spans="1:7" ht="15.5" x14ac:dyDescent="0.35">
      <c r="A48" s="43" t="s">
        <v>95</v>
      </c>
      <c r="B48" s="58"/>
      <c r="C48" s="7">
        <v>-2553898</v>
      </c>
      <c r="D48" s="7">
        <f>C48+2362898-6280405.08</f>
        <v>-6471405.0800000001</v>
      </c>
      <c r="E48" s="30">
        <f>E49-2865817.25</f>
        <v>-3052040.04</v>
      </c>
      <c r="F48" s="38">
        <f>-37785-2039739.05</f>
        <v>-2077524.05</v>
      </c>
      <c r="G48" s="7">
        <f t="shared" si="13"/>
        <v>3419365.04</v>
      </c>
    </row>
    <row r="49" spans="1:7" ht="15.5" x14ac:dyDescent="0.35">
      <c r="A49" s="43"/>
      <c r="B49" s="43" t="s">
        <v>8</v>
      </c>
      <c r="C49" s="7">
        <v>-191000</v>
      </c>
      <c r="D49" s="7">
        <f>C49-23215</f>
        <v>-214215</v>
      </c>
      <c r="E49" s="30">
        <v>-186222.79</v>
      </c>
      <c r="F49" s="38">
        <f>-37785</f>
        <v>-37785</v>
      </c>
      <c r="G49" s="7">
        <f t="shared" si="13"/>
        <v>27992.209999999992</v>
      </c>
    </row>
    <row r="50" spans="1:7" ht="15.5" x14ac:dyDescent="0.35">
      <c r="A50" s="43" t="s">
        <v>96</v>
      </c>
      <c r="B50" s="58"/>
      <c r="C50" s="7">
        <v>-853350</v>
      </c>
      <c r="D50" s="7">
        <f>C50</f>
        <v>-853350</v>
      </c>
      <c r="E50" s="30">
        <f>E51</f>
        <v>-815095.36</v>
      </c>
      <c r="F50" s="38">
        <f>-853350</f>
        <v>-853350</v>
      </c>
      <c r="G50" s="7">
        <f t="shared" si="13"/>
        <v>38254.640000000014</v>
      </c>
    </row>
    <row r="51" spans="1:7" ht="15.5" x14ac:dyDescent="0.35">
      <c r="A51" s="43"/>
      <c r="B51" s="43" t="s">
        <v>8</v>
      </c>
      <c r="C51" s="7">
        <v>-853350</v>
      </c>
      <c r="D51" s="7">
        <f t="shared" si="14"/>
        <v>-853350</v>
      </c>
      <c r="E51" s="30">
        <v>-815095.36</v>
      </c>
      <c r="F51" s="38">
        <f>-853350</f>
        <v>-853350</v>
      </c>
      <c r="G51" s="7">
        <f t="shared" si="13"/>
        <v>38254.640000000014</v>
      </c>
    </row>
    <row r="52" spans="1:7" ht="15.5" x14ac:dyDescent="0.35">
      <c r="A52" s="43" t="s">
        <v>97</v>
      </c>
      <c r="B52" s="58"/>
      <c r="C52" s="7">
        <v>-4663500</v>
      </c>
      <c r="D52" s="7">
        <f>C52+117000-1046702.66</f>
        <v>-5593202.6600000001</v>
      </c>
      <c r="E52" s="30">
        <f>E53-175275.5</f>
        <v>-4349974.32</v>
      </c>
      <c r="F52" s="38">
        <f>-4173603.67-635240.49</f>
        <v>-4808844.16</v>
      </c>
      <c r="G52" s="7">
        <f t="shared" si="13"/>
        <v>1243228.3399999999</v>
      </c>
    </row>
    <row r="53" spans="1:7" ht="15.5" x14ac:dyDescent="0.35">
      <c r="A53" s="43"/>
      <c r="B53" s="43" t="s">
        <v>8</v>
      </c>
      <c r="C53" s="7">
        <v>-4546500</v>
      </c>
      <c r="D53" s="7">
        <f>C53-741847.31</f>
        <v>-5288347.3100000005</v>
      </c>
      <c r="E53" s="30">
        <v>-4174698.82</v>
      </c>
      <c r="F53" s="38">
        <v>-4173603.67</v>
      </c>
      <c r="G53" s="7">
        <f t="shared" si="13"/>
        <v>1113648.4900000007</v>
      </c>
    </row>
    <row r="54" spans="1:7" ht="15.5" x14ac:dyDescent="0.35">
      <c r="A54" s="43" t="s">
        <v>98</v>
      </c>
      <c r="B54" s="58"/>
      <c r="C54" s="7">
        <v>-5052723</v>
      </c>
      <c r="D54" s="7">
        <f>C54+4612723-1872095.04</f>
        <v>-2312095.04</v>
      </c>
      <c r="E54" s="30">
        <f>E55-1087634.83</f>
        <v>-1520395.1</v>
      </c>
      <c r="F54" s="38">
        <f>-439950.6-889082.4</f>
        <v>-1329033</v>
      </c>
      <c r="G54" s="7">
        <f t="shared" si="13"/>
        <v>791699.94</v>
      </c>
    </row>
    <row r="55" spans="1:7" ht="15.5" x14ac:dyDescent="0.35">
      <c r="A55" s="42"/>
      <c r="B55" s="43" t="s">
        <v>8</v>
      </c>
      <c r="C55" s="7">
        <v>-440000</v>
      </c>
      <c r="D55" s="7">
        <f>C55-11908.25</f>
        <v>-451908.25</v>
      </c>
      <c r="E55" s="30">
        <v>-432760.27</v>
      </c>
      <c r="F55" s="38">
        <f>-439950.6</f>
        <v>-439950.6</v>
      </c>
      <c r="G55" s="7">
        <f t="shared" si="13"/>
        <v>19147.979999999981</v>
      </c>
    </row>
    <row r="56" spans="1:7" ht="15.5" x14ac:dyDescent="0.35">
      <c r="A56" s="35" t="s">
        <v>99</v>
      </c>
      <c r="B56" s="35"/>
      <c r="C56" s="8">
        <f>C60+C62+C66</f>
        <v>-225371487</v>
      </c>
      <c r="D56" s="8">
        <f t="shared" ref="D56:E56" si="15">D60+D62+D66</f>
        <v>-233429185.72</v>
      </c>
      <c r="E56" s="8">
        <f t="shared" si="15"/>
        <v>-198148736.84999999</v>
      </c>
      <c r="F56" s="36">
        <f t="shared" ref="F56" si="16">F60+F62+F66</f>
        <v>-192862873.15000001</v>
      </c>
      <c r="G56" s="8">
        <f t="shared" ref="G56" si="17">G60+G62+G66</f>
        <v>35280448.87000002</v>
      </c>
    </row>
    <row r="57" spans="1:7" ht="15.5" x14ac:dyDescent="0.35">
      <c r="A57" s="35"/>
      <c r="B57" s="42" t="s">
        <v>8</v>
      </c>
      <c r="C57" s="7">
        <f>C61+C63+C67</f>
        <v>-180580484</v>
      </c>
      <c r="D57" s="7">
        <f t="shared" ref="D57:E57" si="18">D61+D63+D67</f>
        <v>-205064090.22999999</v>
      </c>
      <c r="E57" s="7">
        <f t="shared" si="18"/>
        <v>-174315012.48999998</v>
      </c>
      <c r="F57" s="37">
        <f t="shared" ref="F57" si="19">F61+F63+F67</f>
        <v>-143756873.88</v>
      </c>
      <c r="G57" s="7">
        <f t="shared" ref="G57" si="20">G61+G63+G67</f>
        <v>30749077.74000001</v>
      </c>
    </row>
    <row r="58" spans="1:7" ht="15.5" x14ac:dyDescent="0.35">
      <c r="A58" s="35" t="s">
        <v>100</v>
      </c>
      <c r="B58" s="35"/>
      <c r="C58" s="8">
        <f>C60+C62</f>
        <v>-186828672</v>
      </c>
      <c r="D58" s="8">
        <f t="shared" ref="D58:G58" si="21">D60+D62</f>
        <v>-205652622.24000001</v>
      </c>
      <c r="E58" s="8">
        <f t="shared" si="21"/>
        <v>-174450741.75999999</v>
      </c>
      <c r="F58" s="36">
        <f t="shared" ref="F58" si="22">F60+F62</f>
        <v>-172833148.34</v>
      </c>
      <c r="G58" s="8">
        <f t="shared" si="21"/>
        <v>31201880.480000019</v>
      </c>
    </row>
    <row r="59" spans="1:7" ht="15.5" x14ac:dyDescent="0.35">
      <c r="A59" s="35"/>
      <c r="B59" s="42" t="s">
        <v>8</v>
      </c>
      <c r="C59" s="7">
        <f>C61+C63</f>
        <v>-161740484</v>
      </c>
      <c r="D59" s="7">
        <f t="shared" ref="D59:G59" si="23">D61+D63</f>
        <v>-185933703.72</v>
      </c>
      <c r="E59" s="7">
        <f t="shared" si="23"/>
        <v>-157024674.85999998</v>
      </c>
      <c r="F59" s="37">
        <f t="shared" ref="F59" si="24">F61+F63</f>
        <v>-139016873.88</v>
      </c>
      <c r="G59" s="7">
        <f t="shared" si="23"/>
        <v>28909028.860000011</v>
      </c>
    </row>
    <row r="60" spans="1:7" ht="15.5" x14ac:dyDescent="0.35">
      <c r="A60" s="43" t="s">
        <v>101</v>
      </c>
      <c r="B60" s="45"/>
      <c r="C60" s="7">
        <v>-167136403</v>
      </c>
      <c r="D60" s="7">
        <f>C60-14000000+19973240-22632940.52</f>
        <v>-183796103.52000001</v>
      </c>
      <c r="E60" s="7">
        <f>E61-12861403.53</f>
        <v>-155563353.22999999</v>
      </c>
      <c r="F60" s="37">
        <f>-129036563.69-30848850.95+23235.76</f>
        <v>-159862178.88</v>
      </c>
      <c r="G60" s="7">
        <f>E60-D60</f>
        <v>28232750.290000021</v>
      </c>
    </row>
    <row r="61" spans="1:7" ht="15.5" x14ac:dyDescent="0.35">
      <c r="A61" s="30"/>
      <c r="B61" s="42" t="s">
        <v>8</v>
      </c>
      <c r="C61" s="7">
        <v>-146545484</v>
      </c>
      <c r="D61" s="7">
        <f>C61-14000000-8132036.19</f>
        <v>-168677520.19</v>
      </c>
      <c r="E61" s="7">
        <v>-142701949.69999999</v>
      </c>
      <c r="F61" s="37">
        <f>-129036563.69</f>
        <v>-129036563.69</v>
      </c>
      <c r="G61" s="7">
        <f>E61-D61</f>
        <v>25975570.49000001</v>
      </c>
    </row>
    <row r="62" spans="1:7" ht="15.5" x14ac:dyDescent="0.35">
      <c r="A62" s="43" t="s">
        <v>133</v>
      </c>
      <c r="B62" s="45"/>
      <c r="C62" s="7">
        <v>-19692269</v>
      </c>
      <c r="D62" s="7">
        <f>C62+4497269-6661518.72</f>
        <v>-21856518.719999999</v>
      </c>
      <c r="E62" s="30">
        <f>E63-4564663.37</f>
        <v>-18887388.530000001</v>
      </c>
      <c r="F62" s="38">
        <f>-9980310.19-2990659.27</f>
        <v>-12970969.459999999</v>
      </c>
      <c r="G62" s="7">
        <f>E62-D62</f>
        <v>2969130.1899999976</v>
      </c>
    </row>
    <row r="63" spans="1:7" ht="15.5" x14ac:dyDescent="0.35">
      <c r="A63" s="30"/>
      <c r="B63" s="42" t="s">
        <v>8</v>
      </c>
      <c r="C63" s="7">
        <v>-15195000</v>
      </c>
      <c r="D63" s="7">
        <f>C63-2061183.53</f>
        <v>-17256183.530000001</v>
      </c>
      <c r="E63" s="30">
        <v>-14322725.16</v>
      </c>
      <c r="F63" s="38">
        <f>-9980310.19</f>
        <v>-9980310.1899999995</v>
      </c>
      <c r="G63" s="7">
        <f>E63-D63</f>
        <v>2933458.370000001</v>
      </c>
    </row>
    <row r="64" spans="1:7" ht="15.5" x14ac:dyDescent="0.35">
      <c r="A64" s="35" t="s">
        <v>102</v>
      </c>
      <c r="B64" s="35"/>
      <c r="C64" s="8">
        <f>C66</f>
        <v>-38542815</v>
      </c>
      <c r="D64" s="8">
        <f t="shared" ref="D64:G64" si="25">D66</f>
        <v>-27776563.48</v>
      </c>
      <c r="E64" s="8">
        <f t="shared" si="25"/>
        <v>-23697995.09</v>
      </c>
      <c r="F64" s="36">
        <f t="shared" ref="F64" si="26">F66</f>
        <v>-20029724.810000002</v>
      </c>
      <c r="G64" s="8">
        <f t="shared" si="25"/>
        <v>4078568.3900000006</v>
      </c>
    </row>
    <row r="65" spans="1:7" ht="15.5" x14ac:dyDescent="0.35">
      <c r="A65" s="35"/>
      <c r="B65" s="42" t="s">
        <v>8</v>
      </c>
      <c r="C65" s="7">
        <f t="shared" ref="C65:G65" si="27">C67</f>
        <v>-18840000</v>
      </c>
      <c r="D65" s="7">
        <f t="shared" si="27"/>
        <v>-19130386.509999998</v>
      </c>
      <c r="E65" s="7">
        <f t="shared" si="27"/>
        <v>-17290337.629999999</v>
      </c>
      <c r="F65" s="37">
        <f t="shared" ref="F65" si="28">F67</f>
        <v>-4740000</v>
      </c>
      <c r="G65" s="7">
        <f t="shared" si="27"/>
        <v>1840048.879999999</v>
      </c>
    </row>
    <row r="66" spans="1:7" ht="15.5" x14ac:dyDescent="0.35">
      <c r="A66" s="42" t="s">
        <v>103</v>
      </c>
      <c r="B66" s="42"/>
      <c r="C66" s="7">
        <v>-38542815</v>
      </c>
      <c r="D66" s="7">
        <f>C66+1400000+14000000+19702815-24336563.48</f>
        <v>-27776563.48</v>
      </c>
      <c r="E66" s="2">
        <f>E67-6407657.46</f>
        <v>-23697995.09</v>
      </c>
      <c r="F66" s="39">
        <f>-4740000-15289724.81</f>
        <v>-20029724.810000002</v>
      </c>
      <c r="G66" s="7">
        <f>E66-D66</f>
        <v>4078568.3900000006</v>
      </c>
    </row>
    <row r="67" spans="1:7" ht="15.5" x14ac:dyDescent="0.35">
      <c r="A67" s="42"/>
      <c r="B67" s="43" t="s">
        <v>8</v>
      </c>
      <c r="C67" s="7">
        <v>-18840000</v>
      </c>
      <c r="D67" s="7">
        <f>C67+1400000+14000000-15690386.51</f>
        <v>-19130386.509999998</v>
      </c>
      <c r="E67" s="2">
        <v>-17290337.629999999</v>
      </c>
      <c r="F67" s="39">
        <f>-4740000</f>
        <v>-4740000</v>
      </c>
      <c r="G67" s="7">
        <f>E67-D67</f>
        <v>1840048.879999999</v>
      </c>
    </row>
    <row r="68" spans="1:7" ht="15.5" x14ac:dyDescent="0.35">
      <c r="A68" s="35" t="s">
        <v>16</v>
      </c>
      <c r="B68" s="35"/>
      <c r="C68" s="8">
        <f t="shared" ref="C68:D69" si="29">C72</f>
        <v>-9822992</v>
      </c>
      <c r="D68" s="8">
        <f t="shared" si="29"/>
        <v>-10923648.029999999</v>
      </c>
      <c r="E68" s="8">
        <f t="shared" ref="E68:F68" si="30">E72</f>
        <v>-9606475.7200000007</v>
      </c>
      <c r="F68" s="36">
        <f t="shared" si="30"/>
        <v>-9864704.1699999999</v>
      </c>
      <c r="G68" s="8">
        <f t="shared" ref="G68" si="31">G72</f>
        <v>1317172.3099999987</v>
      </c>
    </row>
    <row r="69" spans="1:7" ht="15.5" x14ac:dyDescent="0.35">
      <c r="A69" s="42"/>
      <c r="B69" s="43" t="s">
        <v>8</v>
      </c>
      <c r="C69" s="7">
        <f t="shared" si="29"/>
        <v>-9238400</v>
      </c>
      <c r="D69" s="7">
        <f t="shared" si="29"/>
        <v>-9479490</v>
      </c>
      <c r="E69" s="7">
        <f t="shared" ref="E69:F69" si="32">E73</f>
        <v>-9074482.2300000004</v>
      </c>
      <c r="F69" s="37">
        <f t="shared" si="32"/>
        <v>-8228006.1100000003</v>
      </c>
      <c r="G69" s="7">
        <f t="shared" ref="G69" si="33">G73</f>
        <v>405007.76999999955</v>
      </c>
    </row>
    <row r="70" spans="1:7" ht="15.5" x14ac:dyDescent="0.35">
      <c r="A70" s="35" t="s">
        <v>24</v>
      </c>
      <c r="B70" s="35"/>
      <c r="C70" s="8">
        <f>C72</f>
        <v>-9822992</v>
      </c>
      <c r="D70" s="8">
        <f t="shared" ref="D70:G70" si="34">D72</f>
        <v>-10923648.029999999</v>
      </c>
      <c r="E70" s="8">
        <f t="shared" si="34"/>
        <v>-9606475.7200000007</v>
      </c>
      <c r="F70" s="36">
        <f t="shared" ref="F70" si="35">F72</f>
        <v>-9864704.1699999999</v>
      </c>
      <c r="G70" s="8">
        <f t="shared" si="34"/>
        <v>1317172.3099999987</v>
      </c>
    </row>
    <row r="71" spans="1:7" ht="15.5" x14ac:dyDescent="0.35">
      <c r="A71" s="35"/>
      <c r="B71" s="43" t="s">
        <v>8</v>
      </c>
      <c r="C71" s="7">
        <f>C73</f>
        <v>-9238400</v>
      </c>
      <c r="D71" s="7">
        <f t="shared" ref="D71:G71" si="36">D73</f>
        <v>-9479490</v>
      </c>
      <c r="E71" s="7">
        <f t="shared" si="36"/>
        <v>-9074482.2300000004</v>
      </c>
      <c r="F71" s="37">
        <f t="shared" ref="F71" si="37">F73</f>
        <v>-8228006.1100000003</v>
      </c>
      <c r="G71" s="7">
        <f t="shared" si="36"/>
        <v>405007.76999999955</v>
      </c>
    </row>
    <row r="72" spans="1:7" ht="15.5" x14ac:dyDescent="0.35">
      <c r="A72" s="42" t="s">
        <v>104</v>
      </c>
      <c r="B72" s="42"/>
      <c r="C72" s="7">
        <v>-9822992</v>
      </c>
      <c r="D72" s="7">
        <f>C72+145000-1245656.03</f>
        <v>-10923648.029999999</v>
      </c>
      <c r="E72" s="30">
        <f>E73-531993.49</f>
        <v>-9606475.7200000007</v>
      </c>
      <c r="F72" s="38">
        <f>-8228006.11-1636698.06</f>
        <v>-9864704.1699999999</v>
      </c>
      <c r="G72" s="7">
        <f>E72-D72</f>
        <v>1317172.3099999987</v>
      </c>
    </row>
    <row r="73" spans="1:7" ht="15.5" x14ac:dyDescent="0.35">
      <c r="A73" s="30"/>
      <c r="B73" s="43" t="s">
        <v>8</v>
      </c>
      <c r="C73" s="7">
        <v>-9238400</v>
      </c>
      <c r="D73" s="7">
        <f>C73-241090</f>
        <v>-9479490</v>
      </c>
      <c r="E73" s="30">
        <v>-9074482.2300000004</v>
      </c>
      <c r="F73" s="38">
        <f>-8228006.11</f>
        <v>-8228006.1100000003</v>
      </c>
      <c r="G73" s="7">
        <f>E73-D73</f>
        <v>405007.76999999955</v>
      </c>
    </row>
    <row r="74" spans="1:7" s="24" customFormat="1" ht="15.5" x14ac:dyDescent="0.35">
      <c r="A74" s="31" t="s">
        <v>66</v>
      </c>
      <c r="B74" s="31"/>
      <c r="C74" s="8">
        <v>-14786353</v>
      </c>
      <c r="D74" s="8">
        <f>C74-113015+1883278-3137339.85</f>
        <v>-16153429.85</v>
      </c>
      <c r="E74" s="52">
        <v>-15490043.560000001</v>
      </c>
      <c r="F74" s="53">
        <v>-13375062.720000001</v>
      </c>
      <c r="G74" s="8">
        <f>E74-D74</f>
        <v>663386.28999999911</v>
      </c>
    </row>
    <row r="75" spans="1:7" s="24" customFormat="1" ht="15.5" x14ac:dyDescent="0.35">
      <c r="A75" s="31" t="s">
        <v>12</v>
      </c>
      <c r="B75" s="31"/>
      <c r="C75" s="8">
        <f>C77+C79+C81+C83+C95</f>
        <v>-105010085</v>
      </c>
      <c r="D75" s="8">
        <f>D77+D79+D81+D83</f>
        <v>-97320602.74000001</v>
      </c>
      <c r="E75" s="8">
        <f>E77+E79+E81+E83</f>
        <v>-79197936.873800009</v>
      </c>
      <c r="F75" s="36">
        <f t="shared" ref="F75:G75" si="38">F77+F79+F81+F83+F95</f>
        <v>-79529793.390000001</v>
      </c>
      <c r="G75" s="8">
        <f t="shared" si="38"/>
        <v>18122665.866199985</v>
      </c>
    </row>
    <row r="76" spans="1:7" ht="15.5" x14ac:dyDescent="0.35">
      <c r="A76" s="43"/>
      <c r="B76" s="43" t="s">
        <v>8</v>
      </c>
      <c r="C76" s="7">
        <f>C78+C79+C82+C96</f>
        <v>-16017750</v>
      </c>
      <c r="D76" s="7">
        <f>D78+D79+D82+D96-D96</f>
        <v>-24204458.640000001</v>
      </c>
      <c r="E76" s="7">
        <f>E78+E79+E82</f>
        <v>-14131496.436100002</v>
      </c>
      <c r="F76" s="37">
        <f t="shared" ref="F76:G76" si="39">F78+F79+F82+F96</f>
        <v>-20346779.079999998</v>
      </c>
      <c r="G76" s="7">
        <f t="shared" si="39"/>
        <v>10072962.203899998</v>
      </c>
    </row>
    <row r="77" spans="1:7" ht="15.5" x14ac:dyDescent="0.35">
      <c r="A77" s="43" t="s">
        <v>106</v>
      </c>
      <c r="B77" s="43"/>
      <c r="C77" s="7">
        <v>-68861286</v>
      </c>
      <c r="D77" s="7">
        <f>C77+68661286-52059762.55</f>
        <v>-52259762.549999997</v>
      </c>
      <c r="E77" s="7">
        <v>-47226923.259900004</v>
      </c>
      <c r="F77" s="37">
        <f>-41677634.82-271221</f>
        <v>-41948855.82</v>
      </c>
      <c r="G77" s="7">
        <f t="shared" ref="G77:G86" si="40">E77-D77</f>
        <v>5032839.2900999933</v>
      </c>
    </row>
    <row r="78" spans="1:7" ht="15.5" x14ac:dyDescent="0.35">
      <c r="A78" s="43"/>
      <c r="B78" s="43" t="s">
        <v>8</v>
      </c>
      <c r="C78" s="7">
        <v>-200000</v>
      </c>
      <c r="D78" s="7">
        <f t="shared" ref="D78" si="41">C78</f>
        <v>-200000</v>
      </c>
      <c r="E78" s="7">
        <v>0</v>
      </c>
      <c r="F78" s="37">
        <v>-192333</v>
      </c>
      <c r="G78" s="7">
        <f t="shared" si="40"/>
        <v>200000</v>
      </c>
    </row>
    <row r="79" spans="1:7" ht="15.5" x14ac:dyDescent="0.35">
      <c r="A79" s="43" t="s">
        <v>119</v>
      </c>
      <c r="B79" s="43"/>
      <c r="C79" s="7">
        <v>-12987000</v>
      </c>
      <c r="D79" s="7">
        <f>C79-623939</f>
        <v>-13610939</v>
      </c>
      <c r="E79" s="7">
        <v>-7405090.1491000019</v>
      </c>
      <c r="F79" s="37">
        <v>-12050294.91</v>
      </c>
      <c r="G79" s="7">
        <f t="shared" si="40"/>
        <v>6205848.8508999981</v>
      </c>
    </row>
    <row r="80" spans="1:7" ht="15.5" x14ac:dyDescent="0.35">
      <c r="A80" s="43"/>
      <c r="B80" s="43" t="s">
        <v>8</v>
      </c>
      <c r="C80" s="7">
        <v>-12987000</v>
      </c>
      <c r="D80" s="7">
        <f>C80-623939</f>
        <v>-13610939</v>
      </c>
      <c r="E80" s="7">
        <v>-7405090.1491000019</v>
      </c>
      <c r="F80" s="37">
        <v>-12050294.91</v>
      </c>
      <c r="G80" s="7">
        <f t="shared" si="40"/>
        <v>6205848.8508999981</v>
      </c>
    </row>
    <row r="81" spans="1:7" ht="15.5" x14ac:dyDescent="0.35">
      <c r="A81" s="43" t="s">
        <v>107</v>
      </c>
      <c r="B81" s="43"/>
      <c r="C81" s="7">
        <v>-4087410</v>
      </c>
      <c r="D81" s="7">
        <f>C81-2960300-364710+1256660-42907-9778415.4</f>
        <v>-15977082.4</v>
      </c>
      <c r="E81" s="7">
        <v>-11457403.934800005</v>
      </c>
      <c r="F81" s="37">
        <f>-66475031.83+11765.19+41677634.82+271221+12050294.91</f>
        <v>-12464115.91</v>
      </c>
      <c r="G81" s="7">
        <f t="shared" si="40"/>
        <v>4519678.4651999958</v>
      </c>
    </row>
    <row r="82" spans="1:7" ht="15.5" x14ac:dyDescent="0.35">
      <c r="A82" s="43"/>
      <c r="B82" s="43" t="s">
        <v>8</v>
      </c>
      <c r="C82" s="7">
        <v>-2830750</v>
      </c>
      <c r="D82" s="7">
        <f>C82-2960300-364710-42907-4194852.64</f>
        <v>-10393519.640000001</v>
      </c>
      <c r="E82" s="7">
        <v>-6726406.2870000005</v>
      </c>
      <c r="F82" s="37">
        <f>-20346779.08+192333+12050294.91</f>
        <v>-8104151.1699999981</v>
      </c>
      <c r="G82" s="7">
        <f t="shared" si="40"/>
        <v>3667113.3530000001</v>
      </c>
    </row>
    <row r="83" spans="1:7" ht="15.5" x14ac:dyDescent="0.35">
      <c r="A83" s="46" t="s">
        <v>66</v>
      </c>
      <c r="B83" s="46"/>
      <c r="C83" s="7">
        <v>-19074389</v>
      </c>
      <c r="D83" s="7">
        <f>C83+13879989-10278418.79</f>
        <v>-15472818.789999999</v>
      </c>
      <c r="E83" s="7">
        <v>-13108519.529999999</v>
      </c>
      <c r="F83" s="37">
        <v>-13066526.75</v>
      </c>
      <c r="G83" s="7">
        <f t="shared" si="40"/>
        <v>2364299.2599999998</v>
      </c>
    </row>
    <row r="84" spans="1:7" s="24" customFormat="1" ht="15.5" x14ac:dyDescent="0.35">
      <c r="A84" s="47" t="s">
        <v>17</v>
      </c>
      <c r="B84" s="47"/>
      <c r="C84" s="8">
        <f>C87+C89</f>
        <v>248000</v>
      </c>
      <c r="D84" s="8">
        <f t="shared" ref="D84" si="42">D87+D89</f>
        <v>248000</v>
      </c>
      <c r="E84" s="8">
        <f>E87+E89+E86</f>
        <v>54495.100000000013</v>
      </c>
      <c r="F84" s="36">
        <f>F87+F89+F86</f>
        <v>69773.180000000008</v>
      </c>
      <c r="G84" s="8">
        <f t="shared" si="40"/>
        <v>-193504.9</v>
      </c>
    </row>
    <row r="85" spans="1:7" ht="15.5" x14ac:dyDescent="0.35">
      <c r="A85" s="46"/>
      <c r="B85" s="46" t="s">
        <v>8</v>
      </c>
      <c r="C85" s="7">
        <f>C88+C90</f>
        <v>-11000</v>
      </c>
      <c r="D85" s="7">
        <f t="shared" ref="D85:E85" si="43">D88+D90</f>
        <v>-11000</v>
      </c>
      <c r="E85" s="7">
        <f t="shared" si="43"/>
        <v>-10649.87</v>
      </c>
      <c r="F85" s="37">
        <f t="shared" ref="F85" si="44">F88+F90</f>
        <v>-11765.19</v>
      </c>
      <c r="G85" s="7">
        <f t="shared" si="40"/>
        <v>350.1299999999992</v>
      </c>
    </row>
    <row r="86" spans="1:7" ht="15.5" x14ac:dyDescent="0.35">
      <c r="A86" s="46"/>
      <c r="B86" s="46" t="s">
        <v>79</v>
      </c>
      <c r="C86" s="7">
        <v>0</v>
      </c>
      <c r="D86" s="7">
        <v>0</v>
      </c>
      <c r="E86" s="7">
        <v>-2129.9499999999998</v>
      </c>
      <c r="F86" s="37">
        <v>-2353.02</v>
      </c>
      <c r="G86" s="7">
        <f t="shared" si="40"/>
        <v>-2129.9499999999998</v>
      </c>
    </row>
    <row r="87" spans="1:7" ht="15.5" x14ac:dyDescent="0.35">
      <c r="A87" s="46" t="s">
        <v>108</v>
      </c>
      <c r="B87" s="46"/>
      <c r="C87" s="7">
        <f>C88</f>
        <v>-11000</v>
      </c>
      <c r="D87" s="7">
        <f t="shared" ref="D87:G87" si="45">D88</f>
        <v>-11000</v>
      </c>
      <c r="E87" s="7">
        <f t="shared" si="45"/>
        <v>-10649.87</v>
      </c>
      <c r="F87" s="37">
        <f t="shared" si="45"/>
        <v>-11765.19</v>
      </c>
      <c r="G87" s="7">
        <f t="shared" si="45"/>
        <v>350.1299999999992</v>
      </c>
    </row>
    <row r="88" spans="1:7" ht="15.5" x14ac:dyDescent="0.35">
      <c r="A88" s="46"/>
      <c r="B88" s="46" t="s">
        <v>8</v>
      </c>
      <c r="C88" s="7">
        <v>-11000</v>
      </c>
      <c r="D88" s="7">
        <f t="shared" ref="D88:D90" si="46">C88</f>
        <v>-11000</v>
      </c>
      <c r="E88" s="7">
        <v>-10649.87</v>
      </c>
      <c r="F88" s="37">
        <v>-11765.19</v>
      </c>
      <c r="G88" s="7">
        <f>E88-D88</f>
        <v>350.1299999999992</v>
      </c>
    </row>
    <row r="89" spans="1:7" ht="15.5" x14ac:dyDescent="0.35">
      <c r="A89" s="46" t="s">
        <v>109</v>
      </c>
      <c r="B89" s="46"/>
      <c r="C89" s="7">
        <v>259000</v>
      </c>
      <c r="D89" s="7">
        <f t="shared" si="46"/>
        <v>259000</v>
      </c>
      <c r="E89" s="7">
        <f>84637.77-17362.85</f>
        <v>67274.920000000013</v>
      </c>
      <c r="F89" s="37">
        <f>-49070.99+132962.38</f>
        <v>83891.390000000014</v>
      </c>
      <c r="G89" s="7">
        <f>E89-D89</f>
        <v>-191725.08</v>
      </c>
    </row>
    <row r="90" spans="1:7" ht="15.5" x14ac:dyDescent="0.35">
      <c r="A90" s="46"/>
      <c r="B90" s="46" t="s">
        <v>8</v>
      </c>
      <c r="C90" s="7">
        <v>0</v>
      </c>
      <c r="D90" s="7">
        <f t="shared" si="46"/>
        <v>0</v>
      </c>
      <c r="E90" s="7">
        <v>0</v>
      </c>
      <c r="F90" s="37">
        <v>0</v>
      </c>
      <c r="G90" s="7">
        <f>E90-D90</f>
        <v>0</v>
      </c>
    </row>
    <row r="91" spans="1:7" ht="15.5" x14ac:dyDescent="0.35">
      <c r="A91" s="34" t="s">
        <v>25</v>
      </c>
      <c r="B91" s="33"/>
      <c r="C91" s="9"/>
      <c r="D91" s="10"/>
      <c r="E91" s="5"/>
      <c r="F91" s="40"/>
      <c r="G91" s="9"/>
    </row>
    <row r="92" spans="1:7" ht="15.5" x14ac:dyDescent="0.35">
      <c r="A92" s="34" t="s">
        <v>26</v>
      </c>
      <c r="B92" s="34"/>
      <c r="C92" s="9"/>
      <c r="D92" s="11"/>
      <c r="E92" s="5"/>
      <c r="F92" s="40"/>
      <c r="G92" s="9"/>
    </row>
    <row r="93" spans="1:7" ht="15.5" x14ac:dyDescent="0.35">
      <c r="A93" s="48"/>
      <c r="B93" s="34" t="s">
        <v>20</v>
      </c>
      <c r="C93" s="9">
        <v>0</v>
      </c>
      <c r="D93" s="9">
        <v>0</v>
      </c>
      <c r="E93" s="9">
        <v>0</v>
      </c>
      <c r="F93" s="9">
        <v>0</v>
      </c>
      <c r="G93" s="9">
        <f>E93-D93</f>
        <v>0</v>
      </c>
    </row>
    <row r="94" spans="1:7" ht="15.5" x14ac:dyDescent="0.35">
      <c r="A94" s="48"/>
      <c r="B94" s="49" t="s">
        <v>8</v>
      </c>
      <c r="C94" s="3">
        <v>0</v>
      </c>
      <c r="D94" s="3">
        <v>0</v>
      </c>
      <c r="E94" s="3">
        <v>0</v>
      </c>
      <c r="F94" s="3">
        <v>0</v>
      </c>
      <c r="G94" s="3">
        <f>E94-D94</f>
        <v>0</v>
      </c>
    </row>
    <row r="95" spans="1:7" ht="15.5" x14ac:dyDescent="0.35">
      <c r="A95" s="48"/>
      <c r="B95" s="34" t="s">
        <v>21</v>
      </c>
      <c r="C95" s="9">
        <v>0</v>
      </c>
      <c r="D95" s="9">
        <v>0</v>
      </c>
      <c r="E95" s="9">
        <v>0</v>
      </c>
      <c r="F95" s="9">
        <v>0</v>
      </c>
      <c r="G95" s="9">
        <f>E95-D95</f>
        <v>0</v>
      </c>
    </row>
    <row r="96" spans="1:7" ht="15.5" x14ac:dyDescent="0.35">
      <c r="A96" s="48"/>
      <c r="B96" s="49" t="s">
        <v>8</v>
      </c>
      <c r="C96" s="3">
        <v>0</v>
      </c>
      <c r="D96" s="3">
        <v>0</v>
      </c>
      <c r="E96" s="3">
        <v>0</v>
      </c>
      <c r="F96" s="3">
        <v>0</v>
      </c>
      <c r="G96" s="3">
        <f>E96-D96</f>
        <v>0</v>
      </c>
    </row>
    <row r="97" spans="1:7" ht="15.5" x14ac:dyDescent="0.35">
      <c r="A97" s="50" t="s">
        <v>13</v>
      </c>
      <c r="B97" s="50"/>
      <c r="C97" s="7"/>
      <c r="D97" s="7"/>
      <c r="E97" s="8">
        <f>SUM(E98:E108)</f>
        <v>570577.21999999904</v>
      </c>
      <c r="F97" s="8">
        <f>SUM(F98:F108)</f>
        <v>13091161.73</v>
      </c>
      <c r="G97" s="7"/>
    </row>
    <row r="98" spans="1:7" ht="15.5" x14ac:dyDescent="0.35">
      <c r="A98" s="46"/>
      <c r="B98" s="46" t="s">
        <v>27</v>
      </c>
      <c r="C98" s="7"/>
      <c r="D98" s="7"/>
      <c r="E98" s="7">
        <v>0</v>
      </c>
      <c r="F98" s="7">
        <v>426035.47</v>
      </c>
      <c r="G98" s="7"/>
    </row>
    <row r="99" spans="1:7" ht="15.5" x14ac:dyDescent="0.35">
      <c r="A99" s="46"/>
      <c r="B99" s="46" t="s">
        <v>70</v>
      </c>
      <c r="C99" s="7"/>
      <c r="D99" s="7"/>
      <c r="E99" s="7">
        <f>99089817.53-99092434.56</f>
        <v>-2617.0300000011921</v>
      </c>
      <c r="F99" s="7">
        <v>38144.35</v>
      </c>
      <c r="G99" s="7"/>
    </row>
    <row r="100" spans="1:7" ht="15.5" x14ac:dyDescent="0.35">
      <c r="A100" s="46"/>
      <c r="B100" s="46" t="s">
        <v>28</v>
      </c>
      <c r="C100" s="7"/>
      <c r="D100" s="7"/>
      <c r="E100" s="7">
        <v>447615.3</v>
      </c>
      <c r="F100" s="7">
        <v>479911.34</v>
      </c>
      <c r="G100" s="7"/>
    </row>
    <row r="101" spans="1:7" ht="15.5" x14ac:dyDescent="0.35">
      <c r="A101" s="46"/>
      <c r="B101" s="46" t="s">
        <v>29</v>
      </c>
      <c r="C101" s="7"/>
      <c r="D101" s="7"/>
      <c r="E101" s="7">
        <v>321394.28000000003</v>
      </c>
      <c r="F101" s="7">
        <v>12487819.17</v>
      </c>
      <c r="G101" s="7"/>
    </row>
    <row r="102" spans="1:7" ht="15.5" x14ac:dyDescent="0.35">
      <c r="A102" s="46"/>
      <c r="B102" s="46" t="s">
        <v>9</v>
      </c>
      <c r="C102" s="7"/>
      <c r="D102" s="7"/>
      <c r="E102" s="7">
        <v>-191887.68</v>
      </c>
      <c r="F102" s="7">
        <v>-317367.19</v>
      </c>
      <c r="G102" s="7"/>
    </row>
    <row r="103" spans="1:7" ht="15.5" x14ac:dyDescent="0.35">
      <c r="A103" s="46"/>
      <c r="B103" s="41" t="s">
        <v>114</v>
      </c>
      <c r="C103" s="7"/>
      <c r="D103" s="7"/>
      <c r="E103" s="7">
        <v>0</v>
      </c>
      <c r="F103" s="7">
        <v>0</v>
      </c>
      <c r="G103" s="7"/>
    </row>
    <row r="104" spans="1:7" ht="15.5" x14ac:dyDescent="0.35">
      <c r="A104" s="46"/>
      <c r="B104" s="41" t="s">
        <v>113</v>
      </c>
      <c r="C104" s="7"/>
      <c r="D104" s="7"/>
      <c r="E104" s="7">
        <v>0</v>
      </c>
      <c r="F104" s="7">
        <v>0</v>
      </c>
      <c r="G104" s="7"/>
    </row>
    <row r="105" spans="1:7" ht="15.5" x14ac:dyDescent="0.35">
      <c r="A105" s="46"/>
      <c r="B105" s="46" t="s">
        <v>30</v>
      </c>
      <c r="C105" s="7"/>
      <c r="D105" s="7"/>
      <c r="E105" s="7">
        <v>19368.919999999998</v>
      </c>
      <c r="F105" s="7">
        <v>162260.70000000001</v>
      </c>
      <c r="G105" s="7"/>
    </row>
    <row r="106" spans="1:7" ht="15.5" x14ac:dyDescent="0.35">
      <c r="A106" s="46"/>
      <c r="B106" s="46" t="s">
        <v>71</v>
      </c>
      <c r="C106" s="7"/>
      <c r="D106" s="7"/>
      <c r="E106" s="7">
        <f>-3927.65-19368.92</f>
        <v>-23296.57</v>
      </c>
      <c r="F106" s="7">
        <f>-23381.41-162260.7</f>
        <v>-185642.11000000002</v>
      </c>
      <c r="G106" s="7"/>
    </row>
    <row r="107" spans="1:7" ht="15.5" x14ac:dyDescent="0.35">
      <c r="A107" s="46"/>
      <c r="B107" s="46" t="s">
        <v>31</v>
      </c>
      <c r="C107" s="7"/>
      <c r="D107" s="7"/>
      <c r="E107" s="7">
        <f>24529.94+220</f>
        <v>24749.94</v>
      </c>
      <c r="F107" s="7">
        <v>-3909.09</v>
      </c>
      <c r="G107" s="7"/>
    </row>
    <row r="108" spans="1:7" ht="15.5" x14ac:dyDescent="0.35">
      <c r="A108" s="46"/>
      <c r="B108" s="46" t="s">
        <v>32</v>
      </c>
      <c r="C108" s="7"/>
      <c r="D108" s="7"/>
      <c r="E108" s="7">
        <f>-24529.94-220</f>
        <v>-24749.94</v>
      </c>
      <c r="F108" s="7">
        <v>3909.09</v>
      </c>
      <c r="G108" s="7"/>
    </row>
    <row r="109" spans="1:7" ht="15.5" x14ac:dyDescent="0.35">
      <c r="A109" s="51"/>
      <c r="B109" s="48" t="s">
        <v>14</v>
      </c>
      <c r="C109" s="3"/>
      <c r="D109" s="4"/>
      <c r="E109" s="5">
        <f>E4+E12+E97+E83+E86-E103</f>
        <v>-777362309.74000001</v>
      </c>
      <c r="F109" s="5">
        <f>F4+F12+F97+F83+F86-F103</f>
        <v>-658913448.95000005</v>
      </c>
      <c r="G109" s="6"/>
    </row>
    <row r="110" spans="1:7" ht="15.5" x14ac:dyDescent="0.35">
      <c r="A110" s="51"/>
      <c r="B110" s="48" t="s">
        <v>15</v>
      </c>
      <c r="C110" s="3"/>
      <c r="D110" s="4"/>
      <c r="E110" s="5">
        <v>-777362309.37</v>
      </c>
      <c r="F110" s="5">
        <v>-658913448.70000005</v>
      </c>
      <c r="G110" s="6"/>
    </row>
  </sheetData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F9403-50E9-43C6-AF9D-B37F0A9328D9}">
  <dimension ref="A1:O23"/>
  <sheetViews>
    <sheetView workbookViewId="0">
      <selection activeCell="G41" sqref="G41"/>
    </sheetView>
  </sheetViews>
  <sheetFormatPr defaultRowHeight="14.5" x14ac:dyDescent="0.35"/>
  <cols>
    <col min="1" max="1" width="10" customWidth="1"/>
    <col min="2" max="2" width="39.1796875" customWidth="1"/>
    <col min="3" max="3" width="16.7265625" style="25" bestFit="1" customWidth="1"/>
    <col min="4" max="4" width="16.1796875" style="25" bestFit="1" customWidth="1"/>
    <col min="5" max="5" width="16.7265625" style="25" bestFit="1" customWidth="1"/>
    <col min="6" max="6" width="9.1796875" style="13"/>
    <col min="7" max="7" width="16" style="13" bestFit="1" customWidth="1"/>
    <col min="8" max="8" width="16.7265625" style="13" bestFit="1" customWidth="1"/>
    <col min="9" max="9" width="15.81640625" style="13" bestFit="1" customWidth="1"/>
    <col min="11" max="11" width="13.26953125" bestFit="1" customWidth="1"/>
    <col min="13" max="13" width="14.26953125" bestFit="1" customWidth="1"/>
    <col min="14" max="14" width="10.7265625" bestFit="1" customWidth="1"/>
    <col min="15" max="15" width="13.26953125" customWidth="1"/>
  </cols>
  <sheetData>
    <row r="1" spans="1:15" x14ac:dyDescent="0.35">
      <c r="A1" s="12" t="s">
        <v>33</v>
      </c>
      <c r="B1" s="23"/>
      <c r="C1" s="60"/>
      <c r="D1" s="60"/>
      <c r="E1" s="60"/>
      <c r="F1" s="61"/>
      <c r="G1" s="62"/>
      <c r="H1" s="63"/>
      <c r="I1" s="64"/>
      <c r="J1" s="65"/>
    </row>
    <row r="2" spans="1:15" x14ac:dyDescent="0.35">
      <c r="A2" s="12" t="s">
        <v>34</v>
      </c>
      <c r="B2" s="23"/>
      <c r="C2" s="60"/>
      <c r="D2" s="60"/>
      <c r="E2" s="60"/>
      <c r="F2" s="61"/>
      <c r="G2" s="62"/>
      <c r="H2" s="63"/>
      <c r="I2" s="63"/>
      <c r="J2" s="65"/>
    </row>
    <row r="3" spans="1:15" x14ac:dyDescent="0.35">
      <c r="A3" s="12"/>
      <c r="B3" s="23"/>
      <c r="C3" s="66">
        <f>SUBTOTAL(9,C5:C23)</f>
        <v>-843392484.67999995</v>
      </c>
      <c r="D3" s="66">
        <f>SUBTOTAL(9,D5:D23)</f>
        <v>-843392485.00380015</v>
      </c>
      <c r="E3" s="66">
        <f>SUBTOTAL(9,E5:E23)</f>
        <v>0.3238001303980127</v>
      </c>
      <c r="F3" s="61"/>
      <c r="G3" s="63">
        <f>SUBTOTAL(9,G5:G23)</f>
        <v>-725342733.44999993</v>
      </c>
      <c r="H3" s="63">
        <f>SUBTOTAL(9,H5:H23)</f>
        <v>-725342733.74000013</v>
      </c>
      <c r="I3" s="63">
        <f>SUBTOTAL(9,I5:I23)</f>
        <v>0.29000011621974409</v>
      </c>
      <c r="J3" s="57"/>
    </row>
    <row r="4" spans="1:15" ht="26" x14ac:dyDescent="0.35">
      <c r="A4" s="14"/>
      <c r="B4" s="14" t="s">
        <v>35</v>
      </c>
      <c r="C4" s="26" t="s">
        <v>130</v>
      </c>
      <c r="D4" s="26" t="s">
        <v>132</v>
      </c>
      <c r="E4" s="26" t="s">
        <v>131</v>
      </c>
      <c r="F4" s="27" t="s">
        <v>36</v>
      </c>
      <c r="G4" s="15" t="s">
        <v>75</v>
      </c>
      <c r="H4" s="15" t="s">
        <v>76</v>
      </c>
      <c r="I4" s="15" t="s">
        <v>77</v>
      </c>
      <c r="J4" s="14" t="s">
        <v>36</v>
      </c>
    </row>
    <row r="5" spans="1:15" x14ac:dyDescent="0.35">
      <c r="A5" s="57" t="s">
        <v>39</v>
      </c>
      <c r="B5" s="57" t="s">
        <v>5</v>
      </c>
      <c r="C5" s="65">
        <v>69089.05</v>
      </c>
      <c r="D5" s="63">
        <f>aruanne!E5</f>
        <v>69089.05</v>
      </c>
      <c r="E5" s="63">
        <f t="shared" ref="E5:E23" si="0">C5-D5</f>
        <v>0</v>
      </c>
      <c r="F5" s="65"/>
      <c r="G5" s="65">
        <v>73377</v>
      </c>
      <c r="H5" s="63">
        <f>aruanne!F5</f>
        <v>73392</v>
      </c>
      <c r="I5" s="63">
        <f t="shared" ref="I5:I23" si="1">G5-H5</f>
        <v>-15</v>
      </c>
      <c r="J5" s="57"/>
      <c r="O5" s="13"/>
    </row>
    <row r="6" spans="1:15" x14ac:dyDescent="0.35">
      <c r="A6" s="57" t="s">
        <v>39</v>
      </c>
      <c r="B6" s="57" t="s">
        <v>78</v>
      </c>
      <c r="C6" s="65">
        <v>13260914.65</v>
      </c>
      <c r="D6" s="63">
        <f>aruanne!E6+aruanne!E107</f>
        <v>13846581.309999999</v>
      </c>
      <c r="E6" s="63">
        <f t="shared" si="0"/>
        <v>-585666.65999999829</v>
      </c>
      <c r="F6" s="65"/>
      <c r="G6" s="65">
        <v>13448628.449999999</v>
      </c>
      <c r="H6" s="63">
        <f>aruanne!F6+aruanne!F107</f>
        <v>13711483.949999999</v>
      </c>
      <c r="I6" s="63">
        <f t="shared" si="1"/>
        <v>-262855.5</v>
      </c>
      <c r="J6" s="57" t="s">
        <v>112</v>
      </c>
      <c r="O6" s="13"/>
    </row>
    <row r="7" spans="1:15" x14ac:dyDescent="0.35">
      <c r="A7" s="57" t="s">
        <v>39</v>
      </c>
      <c r="B7" s="57" t="s">
        <v>40</v>
      </c>
      <c r="C7" s="65">
        <v>585446.66</v>
      </c>
      <c r="D7" s="63"/>
      <c r="E7" s="63">
        <f t="shared" si="0"/>
        <v>585446.66</v>
      </c>
      <c r="F7" s="65"/>
      <c r="G7" s="65">
        <v>262870.5</v>
      </c>
      <c r="H7" s="63"/>
      <c r="I7" s="63">
        <f t="shared" ref="I7" si="2">G7-H7</f>
        <v>262870.5</v>
      </c>
      <c r="J7" s="57" t="s">
        <v>112</v>
      </c>
      <c r="O7" s="13"/>
    </row>
    <row r="8" spans="1:15" x14ac:dyDescent="0.35">
      <c r="A8" s="57" t="s">
        <v>39</v>
      </c>
      <c r="B8" s="57" t="s">
        <v>4</v>
      </c>
      <c r="C8" s="65">
        <v>156978854.84</v>
      </c>
      <c r="D8" s="63">
        <f>aruanne!E7+aruanne!E98+aruanne!E100+aruanne!E105</f>
        <v>156978854.84</v>
      </c>
      <c r="E8" s="63">
        <f t="shared" si="0"/>
        <v>0</v>
      </c>
      <c r="F8" s="65"/>
      <c r="G8" s="65">
        <v>166692630.38999999</v>
      </c>
      <c r="H8" s="63">
        <f>aruanne!F7+aruanne!F98+aruanne!F100+aruanne!F105</f>
        <v>166692630.38999999</v>
      </c>
      <c r="I8" s="63">
        <f t="shared" si="1"/>
        <v>0</v>
      </c>
      <c r="J8" s="57"/>
      <c r="O8" s="13"/>
    </row>
    <row r="9" spans="1:15" x14ac:dyDescent="0.35">
      <c r="A9" s="57" t="s">
        <v>39</v>
      </c>
      <c r="B9" s="57" t="s">
        <v>83</v>
      </c>
      <c r="C9" s="65">
        <v>104542.93</v>
      </c>
      <c r="D9" s="63">
        <f>aruanne!E8</f>
        <v>104542.93</v>
      </c>
      <c r="E9" s="63">
        <f t="shared" si="0"/>
        <v>0</v>
      </c>
      <c r="F9" s="65"/>
      <c r="G9" s="65">
        <v>16388.78</v>
      </c>
      <c r="H9" s="63">
        <f>aruanne!F8</f>
        <v>16388.780000000002</v>
      </c>
      <c r="I9" s="63">
        <f t="shared" si="1"/>
        <v>0</v>
      </c>
      <c r="J9" s="57"/>
      <c r="O9" s="13"/>
    </row>
    <row r="10" spans="1:15" x14ac:dyDescent="0.35">
      <c r="A10" s="57" t="s">
        <v>39</v>
      </c>
      <c r="B10" s="57" t="s">
        <v>6</v>
      </c>
      <c r="C10" s="65">
        <v>162</v>
      </c>
      <c r="D10" s="63">
        <f>aruanne!E9</f>
        <v>-58</v>
      </c>
      <c r="E10" s="63">
        <f t="shared" si="0"/>
        <v>220</v>
      </c>
      <c r="F10" s="65" t="s">
        <v>115</v>
      </c>
      <c r="G10" s="65"/>
      <c r="H10" s="63">
        <f>aruanne!F9</f>
        <v>-140</v>
      </c>
      <c r="I10" s="63">
        <f t="shared" si="1"/>
        <v>140</v>
      </c>
      <c r="J10" s="57"/>
      <c r="O10" s="13"/>
    </row>
    <row r="11" spans="1:15" x14ac:dyDescent="0.35">
      <c r="A11" s="57" t="s">
        <v>39</v>
      </c>
      <c r="B11" s="57" t="s">
        <v>69</v>
      </c>
      <c r="C11" s="65">
        <f>218978.42+324614.83</f>
        <v>543593.25</v>
      </c>
      <c r="D11" s="63">
        <f>aruanne!E10+aruanne!E101</f>
        <v>543593.25</v>
      </c>
      <c r="E11" s="63">
        <f t="shared" si="0"/>
        <v>0</v>
      </c>
      <c r="F11" s="65"/>
      <c r="G11" s="65">
        <f>12490656.69+178921.22</f>
        <v>12669577.91</v>
      </c>
      <c r="H11" s="63">
        <f>aruanne!F10+aruanne!F101</f>
        <v>12669577.91</v>
      </c>
      <c r="I11" s="63">
        <f t="shared" si="1"/>
        <v>0</v>
      </c>
      <c r="J11" s="57"/>
      <c r="O11" s="13"/>
    </row>
    <row r="12" spans="1:15" x14ac:dyDescent="0.35">
      <c r="A12" s="57" t="s">
        <v>39</v>
      </c>
      <c r="B12" s="57" t="s">
        <v>37</v>
      </c>
      <c r="C12" s="65">
        <v>-872.44</v>
      </c>
      <c r="D12" s="63">
        <f>aruanne!E11</f>
        <v>-872.44</v>
      </c>
      <c r="E12" s="63">
        <f t="shared" si="0"/>
        <v>0</v>
      </c>
      <c r="F12" s="65"/>
      <c r="G12" s="65">
        <v>11342.83</v>
      </c>
      <c r="H12" s="63">
        <f>aruanne!F11</f>
        <v>11342.83</v>
      </c>
      <c r="I12" s="63">
        <f t="shared" si="1"/>
        <v>0</v>
      </c>
      <c r="J12" s="57"/>
      <c r="O12" s="13"/>
    </row>
    <row r="13" spans="1:15" x14ac:dyDescent="0.35">
      <c r="A13" s="57" t="s">
        <v>39</v>
      </c>
      <c r="B13" s="57" t="s">
        <v>81</v>
      </c>
      <c r="C13" s="65">
        <f>-948318020.9-C16-C20-C19</f>
        <v>-919717327.86000001</v>
      </c>
      <c r="D13" s="63">
        <f>aruanne!E12+aruanne!E102+aruanne!E104+aruanne!E106+aruanne!E108-D16</f>
        <v>-920300730.61000013</v>
      </c>
      <c r="E13" s="63">
        <f t="shared" si="0"/>
        <v>583402.75000011921</v>
      </c>
      <c r="F13" s="65"/>
      <c r="G13" s="65">
        <f>-851824749.41-G16-G19-G20</f>
        <v>-825380806.91999996</v>
      </c>
      <c r="H13" s="63">
        <f>aruanne!F12+aruanne!F102+aruanne!F104+aruanne!F106+aruanne!F108-H16</f>
        <v>-825682326.67000008</v>
      </c>
      <c r="I13" s="63">
        <f t="shared" si="1"/>
        <v>301519.75000011921</v>
      </c>
      <c r="J13" s="57"/>
      <c r="O13" s="13"/>
    </row>
    <row r="14" spans="1:15" x14ac:dyDescent="0.35">
      <c r="A14" s="57" t="s">
        <v>39</v>
      </c>
      <c r="B14" s="57" t="s">
        <v>41</v>
      </c>
      <c r="C14" s="65">
        <v>-582829.67000000004</v>
      </c>
      <c r="D14" s="63"/>
      <c r="E14" s="63">
        <f t="shared" si="0"/>
        <v>-582829.67000000004</v>
      </c>
      <c r="F14" s="65"/>
      <c r="G14" s="65">
        <v>-301014.81</v>
      </c>
      <c r="H14" s="63"/>
      <c r="I14" s="63">
        <f t="shared" si="1"/>
        <v>-301014.81</v>
      </c>
      <c r="J14" s="57"/>
      <c r="O14" s="13"/>
    </row>
    <row r="15" spans="1:15" x14ac:dyDescent="0.35">
      <c r="A15" s="57" t="s">
        <v>39</v>
      </c>
      <c r="B15" s="57" t="s">
        <v>38</v>
      </c>
      <c r="C15" s="65">
        <v>-572.75</v>
      </c>
      <c r="D15" s="63"/>
      <c r="E15" s="63">
        <f t="shared" si="0"/>
        <v>-572.75</v>
      </c>
      <c r="F15" s="65"/>
      <c r="G15" s="65">
        <v>-644.65</v>
      </c>
      <c r="H15" s="63"/>
      <c r="I15" s="63">
        <f t="shared" si="1"/>
        <v>-644.65</v>
      </c>
      <c r="J15" s="57"/>
      <c r="O15" s="13"/>
    </row>
    <row r="16" spans="1:15" x14ac:dyDescent="0.35">
      <c r="A16" s="57" t="s">
        <v>39</v>
      </c>
      <c r="B16" s="57" t="s">
        <v>67</v>
      </c>
      <c r="C16" s="65">
        <v>-15490043.560000001</v>
      </c>
      <c r="D16" s="63">
        <f>aruanne!E74</f>
        <v>-15490043.560000001</v>
      </c>
      <c r="E16" s="63">
        <f t="shared" si="0"/>
        <v>0</v>
      </c>
      <c r="F16" s="67"/>
      <c r="G16" s="65">
        <v>-13375062.720000001</v>
      </c>
      <c r="H16" s="63">
        <f>aruanne!F74</f>
        <v>-13375062.720000001</v>
      </c>
      <c r="I16" s="63">
        <f t="shared" si="1"/>
        <v>0</v>
      </c>
      <c r="J16" s="57"/>
      <c r="O16" s="13"/>
    </row>
    <row r="17" spans="1:15" x14ac:dyDescent="0.35">
      <c r="A17" s="57" t="s">
        <v>39</v>
      </c>
      <c r="B17" s="68" t="s">
        <v>82</v>
      </c>
      <c r="C17" s="65">
        <f>-61335188.03+14705.88-4879359.32+125130</f>
        <v>-66074711.469999999</v>
      </c>
      <c r="D17" s="63">
        <f>aruanne!E75+aruanne!E103-D19</f>
        <v>-66089417.343800008</v>
      </c>
      <c r="E17" s="63">
        <f t="shared" si="0"/>
        <v>14705.873800009489</v>
      </c>
      <c r="F17" s="67"/>
      <c r="G17" s="65">
        <f>-63724976.95+36279.55-2738289.69</f>
        <v>-66426987.090000004</v>
      </c>
      <c r="H17" s="63">
        <f>aruanne!F75+aruanne!F103-aruanne!F83</f>
        <v>-66463266.640000001</v>
      </c>
      <c r="I17" s="63">
        <f t="shared" si="1"/>
        <v>36279.54999999702</v>
      </c>
      <c r="J17" s="57"/>
      <c r="O17" s="13"/>
    </row>
    <row r="18" spans="1:15" x14ac:dyDescent="0.35">
      <c r="A18" s="57" t="s">
        <v>39</v>
      </c>
      <c r="B18" s="57" t="s">
        <v>42</v>
      </c>
      <c r="C18" s="65">
        <v>-14705.88</v>
      </c>
      <c r="D18" s="63"/>
      <c r="E18" s="63">
        <f t="shared" si="0"/>
        <v>-14705.88</v>
      </c>
      <c r="F18" s="65"/>
      <c r="G18" s="65">
        <f>-36279.55</f>
        <v>-36279.550000000003</v>
      </c>
      <c r="H18" s="63"/>
      <c r="I18" s="63">
        <f t="shared" si="1"/>
        <v>-36279.550000000003</v>
      </c>
      <c r="J18" s="57"/>
      <c r="O18" s="13"/>
    </row>
    <row r="19" spans="1:15" x14ac:dyDescent="0.35">
      <c r="A19" s="57" t="s">
        <v>39</v>
      </c>
      <c r="B19" s="57" t="s">
        <v>80</v>
      </c>
      <c r="C19" s="65">
        <v>-13108519.529999999</v>
      </c>
      <c r="D19" s="63">
        <f>aruanne!E83</f>
        <v>-13108519.529999999</v>
      </c>
      <c r="E19" s="63">
        <f t="shared" si="0"/>
        <v>0</v>
      </c>
      <c r="F19" s="65"/>
      <c r="G19" s="65">
        <f>-13066526.75</f>
        <v>-13066526.75</v>
      </c>
      <c r="H19" s="63">
        <f>aruanne!F83</f>
        <v>-13066526.75</v>
      </c>
      <c r="I19" s="63">
        <f t="shared" si="1"/>
        <v>0</v>
      </c>
      <c r="J19" s="57"/>
      <c r="O19" s="13"/>
    </row>
    <row r="20" spans="1:15" x14ac:dyDescent="0.35">
      <c r="A20" s="57" t="s">
        <v>39</v>
      </c>
      <c r="B20" s="57" t="s">
        <v>68</v>
      </c>
      <c r="C20" s="65">
        <v>-2129.9499999999998</v>
      </c>
      <c r="D20" s="63">
        <f>aruanne!E86</f>
        <v>-2129.9499999999998</v>
      </c>
      <c r="E20" s="63">
        <f t="shared" si="0"/>
        <v>0</v>
      </c>
      <c r="F20" s="65"/>
      <c r="G20" s="65">
        <v>-2353.02</v>
      </c>
      <c r="H20" s="63">
        <f>aruanne!F86</f>
        <v>-2353.02</v>
      </c>
      <c r="I20" s="63">
        <f t="shared" si="1"/>
        <v>0</v>
      </c>
      <c r="J20" s="59"/>
      <c r="O20" s="13"/>
    </row>
    <row r="21" spans="1:15" x14ac:dyDescent="0.35">
      <c r="A21" s="57" t="s">
        <v>39</v>
      </c>
      <c r="B21" s="57" t="s">
        <v>43</v>
      </c>
      <c r="C21" s="65">
        <v>-10649.87</v>
      </c>
      <c r="D21" s="65">
        <f>aruanne!E87</f>
        <v>-10649.87</v>
      </c>
      <c r="E21" s="63">
        <f t="shared" si="0"/>
        <v>0</v>
      </c>
      <c r="F21" s="65"/>
      <c r="G21" s="65">
        <v>-11765.19</v>
      </c>
      <c r="H21" s="65">
        <f>aruanne!F87</f>
        <v>-11765.19</v>
      </c>
      <c r="I21" s="63">
        <f t="shared" si="1"/>
        <v>0</v>
      </c>
      <c r="J21" s="59"/>
      <c r="O21" s="13"/>
    </row>
    <row r="22" spans="1:15" x14ac:dyDescent="0.35">
      <c r="A22" s="57" t="s">
        <v>39</v>
      </c>
      <c r="B22" s="57" t="s">
        <v>44</v>
      </c>
      <c r="C22" s="65">
        <v>-17362.849999999999</v>
      </c>
      <c r="D22" s="65">
        <v>0</v>
      </c>
      <c r="E22" s="63">
        <f t="shared" si="0"/>
        <v>-17362.849999999999</v>
      </c>
      <c r="F22" s="65"/>
      <c r="G22" s="65">
        <v>-49070.99</v>
      </c>
      <c r="H22" s="65">
        <v>0</v>
      </c>
      <c r="I22" s="63">
        <f t="shared" si="1"/>
        <v>-49070.99</v>
      </c>
      <c r="J22" s="59" t="s">
        <v>110</v>
      </c>
      <c r="O22" s="13"/>
    </row>
    <row r="23" spans="1:15" x14ac:dyDescent="0.35">
      <c r="A23" s="57" t="s">
        <v>39</v>
      </c>
      <c r="B23" s="57" t="s">
        <v>45</v>
      </c>
      <c r="C23" s="65">
        <v>84637.77</v>
      </c>
      <c r="D23" s="65">
        <f>aruanne!E89</f>
        <v>67274.920000000013</v>
      </c>
      <c r="E23" s="63">
        <f t="shared" si="0"/>
        <v>17362.849999999991</v>
      </c>
      <c r="F23" s="65"/>
      <c r="G23" s="65">
        <v>132962.38</v>
      </c>
      <c r="H23" s="65">
        <f>aruanne!F89</f>
        <v>83891.390000000014</v>
      </c>
      <c r="I23" s="63">
        <f t="shared" si="1"/>
        <v>49070.989999999991</v>
      </c>
      <c r="J23" s="59" t="s">
        <v>110</v>
      </c>
      <c r="O23" s="13"/>
    </row>
  </sheetData>
  <autoFilter ref="A4:J24" xr:uid="{EF1F9403-50E9-43C6-AF9D-B37F0A9328D9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086A9-CF0E-4B82-AA53-D93B7E26FB31}">
  <dimension ref="A1:F42"/>
  <sheetViews>
    <sheetView topLeftCell="A3" workbookViewId="0">
      <pane xSplit="1" ySplit="5" topLeftCell="B8" activePane="bottomRight" state="frozen"/>
      <selection activeCell="A3" sqref="A3"/>
      <selection pane="topRight" activeCell="B3" sqref="B3"/>
      <selection pane="bottomLeft" activeCell="A7" sqref="A7"/>
      <selection pane="bottomRight" activeCell="H38" sqref="H38"/>
    </sheetView>
  </sheetViews>
  <sheetFormatPr defaultRowHeight="14.5" x14ac:dyDescent="0.35"/>
  <cols>
    <col min="1" max="1" width="77.7265625" customWidth="1"/>
    <col min="2" max="2" width="13.54296875" customWidth="1"/>
    <col min="3" max="3" width="17" customWidth="1"/>
    <col min="4" max="4" width="11" customWidth="1"/>
    <col min="6" max="6" width="11.54296875" bestFit="1" customWidth="1"/>
  </cols>
  <sheetData>
    <row r="1" spans="1:4" x14ac:dyDescent="0.35">
      <c r="A1" s="12" t="s">
        <v>33</v>
      </c>
      <c r="C1" s="1"/>
      <c r="D1" s="1"/>
    </row>
    <row r="2" spans="1:4" x14ac:dyDescent="0.35">
      <c r="A2" s="12" t="s">
        <v>46</v>
      </c>
      <c r="C2" s="13"/>
      <c r="D2" s="13"/>
    </row>
    <row r="3" spans="1:4" x14ac:dyDescent="0.35">
      <c r="A3" s="12" t="s">
        <v>116</v>
      </c>
      <c r="B3" s="57"/>
      <c r="C3" s="23"/>
      <c r="D3" s="23"/>
    </row>
    <row r="4" spans="1:4" x14ac:dyDescent="0.35">
      <c r="A4" s="12" t="s">
        <v>135</v>
      </c>
      <c r="B4" s="57"/>
      <c r="C4" s="23"/>
      <c r="D4" s="23"/>
    </row>
    <row r="5" spans="1:4" x14ac:dyDescent="0.35">
      <c r="A5" s="17" t="s">
        <v>0</v>
      </c>
      <c r="B5" s="23"/>
      <c r="C5" s="70"/>
      <c r="D5" s="23"/>
    </row>
    <row r="6" spans="1:4" x14ac:dyDescent="0.35">
      <c r="A6" s="12"/>
      <c r="B6" s="57"/>
      <c r="C6" s="57"/>
      <c r="D6" s="23"/>
    </row>
    <row r="7" spans="1:4" x14ac:dyDescent="0.35">
      <c r="A7" s="18"/>
      <c r="B7" s="19" t="s">
        <v>47</v>
      </c>
      <c r="C7" s="19" t="s">
        <v>111</v>
      </c>
      <c r="D7" s="19" t="s">
        <v>48</v>
      </c>
    </row>
    <row r="8" spans="1:4" x14ac:dyDescent="0.35">
      <c r="A8" s="54" t="s">
        <v>49</v>
      </c>
      <c r="B8" s="16">
        <f>aruanne!C4</f>
        <v>235140115</v>
      </c>
      <c r="C8" s="16">
        <f>aruanne!C12+aruanne!C75</f>
        <v>-1131760259</v>
      </c>
      <c r="D8" s="16">
        <f>aruanne!C84</f>
        <v>248000</v>
      </c>
    </row>
    <row r="9" spans="1:4" x14ac:dyDescent="0.35">
      <c r="A9" s="54" t="s">
        <v>50</v>
      </c>
      <c r="B9" s="20"/>
      <c r="C9" s="16">
        <v>-153639094</v>
      </c>
      <c r="D9" s="16"/>
    </row>
    <row r="10" spans="1:4" x14ac:dyDescent="0.35">
      <c r="A10" s="54" t="s">
        <v>120</v>
      </c>
      <c r="B10" s="20">
        <v>206030</v>
      </c>
      <c r="C10" s="16">
        <v>-1972545</v>
      </c>
      <c r="D10" s="16"/>
    </row>
    <row r="11" spans="1:4" x14ac:dyDescent="0.35">
      <c r="A11" s="54" t="s">
        <v>129</v>
      </c>
      <c r="B11" s="20"/>
      <c r="C11" s="16"/>
      <c r="D11" s="16"/>
    </row>
    <row r="12" spans="1:4" x14ac:dyDescent="0.35">
      <c r="A12" s="54" t="s">
        <v>123</v>
      </c>
      <c r="B12" s="20"/>
      <c r="C12" s="16">
        <f>-155645.44-3572.23</f>
        <v>-159217.67000000001</v>
      </c>
      <c r="D12" s="16"/>
    </row>
    <row r="13" spans="1:4" x14ac:dyDescent="0.35">
      <c r="A13" s="54" t="s">
        <v>121</v>
      </c>
      <c r="B13" s="20"/>
      <c r="C13" s="20">
        <v>7140</v>
      </c>
      <c r="D13" s="20"/>
    </row>
    <row r="14" spans="1:4" x14ac:dyDescent="0.35">
      <c r="A14" s="55" t="s">
        <v>122</v>
      </c>
      <c r="B14" s="20"/>
      <c r="C14" s="20"/>
      <c r="D14" s="20"/>
    </row>
    <row r="15" spans="1:4" x14ac:dyDescent="0.35">
      <c r="A15" s="55" t="s">
        <v>51</v>
      </c>
      <c r="B15" s="20"/>
      <c r="C15" s="20">
        <v>-56547.06</v>
      </c>
      <c r="D15" s="20"/>
    </row>
    <row r="16" spans="1:4" x14ac:dyDescent="0.35">
      <c r="A16" s="55" t="s">
        <v>127</v>
      </c>
      <c r="B16" s="20"/>
      <c r="C16" s="20"/>
      <c r="D16" s="20"/>
    </row>
    <row r="17" spans="1:6" x14ac:dyDescent="0.35">
      <c r="A17" s="54" t="s">
        <v>52</v>
      </c>
      <c r="B17" s="20"/>
      <c r="C17" s="20">
        <f>224303563+424300</f>
        <v>224727863</v>
      </c>
      <c r="D17" s="20"/>
    </row>
    <row r="18" spans="1:6" x14ac:dyDescent="0.35">
      <c r="A18" s="54" t="s">
        <v>53</v>
      </c>
      <c r="B18" s="20"/>
      <c r="C18" s="20">
        <f>-195232784.89+95971+3572.23</f>
        <v>-195133241.66</v>
      </c>
      <c r="D18" s="20"/>
      <c r="F18" s="1"/>
    </row>
    <row r="19" spans="1:6" x14ac:dyDescent="0.35">
      <c r="A19" s="54" t="s">
        <v>72</v>
      </c>
      <c r="B19" s="20"/>
      <c r="C19" s="20">
        <f>10281514+253895121-224303563</f>
        <v>39873072</v>
      </c>
      <c r="D19" s="20"/>
    </row>
    <row r="20" spans="1:6" x14ac:dyDescent="0.35">
      <c r="A20" s="54" t="s">
        <v>73</v>
      </c>
      <c r="B20" s="20"/>
      <c r="C20" s="20">
        <v>-20302819.34</v>
      </c>
      <c r="D20" s="20"/>
    </row>
    <row r="21" spans="1:6" x14ac:dyDescent="0.35">
      <c r="A21" s="54" t="s">
        <v>54</v>
      </c>
      <c r="B21" s="20"/>
      <c r="C21" s="20">
        <v>13450000</v>
      </c>
      <c r="D21" s="20"/>
    </row>
    <row r="22" spans="1:6" x14ac:dyDescent="0.35">
      <c r="A22" s="54" t="s">
        <v>55</v>
      </c>
      <c r="B22" s="20"/>
      <c r="C22" s="20"/>
      <c r="D22" s="20"/>
    </row>
    <row r="23" spans="1:6" x14ac:dyDescent="0.35">
      <c r="A23" s="54" t="s">
        <v>56</v>
      </c>
      <c r="B23" s="20"/>
      <c r="C23" s="20">
        <f>-11614941.8-746180.23</f>
        <v>-12361122.030000001</v>
      </c>
      <c r="D23" s="20"/>
    </row>
    <row r="24" spans="1:6" x14ac:dyDescent="0.35">
      <c r="A24" s="54" t="s">
        <v>57</v>
      </c>
      <c r="B24" s="20"/>
      <c r="C24" s="20">
        <v>10171882</v>
      </c>
      <c r="D24" s="20"/>
    </row>
    <row r="25" spans="1:6" x14ac:dyDescent="0.35">
      <c r="A25" s="54" t="s">
        <v>58</v>
      </c>
      <c r="B25" s="20"/>
      <c r="C25" s="20">
        <v>-13638553.439999999</v>
      </c>
      <c r="D25" s="20"/>
    </row>
    <row r="26" spans="1:6" x14ac:dyDescent="0.35">
      <c r="A26" s="54" t="s">
        <v>59</v>
      </c>
      <c r="B26" s="20"/>
      <c r="C26" s="20">
        <v>200000</v>
      </c>
      <c r="D26" s="20"/>
    </row>
    <row r="27" spans="1:6" x14ac:dyDescent="0.35">
      <c r="A27" s="54" t="s">
        <v>124</v>
      </c>
      <c r="B27" s="20"/>
      <c r="C27" s="20">
        <f>-101398.55-95971</f>
        <v>-197369.55</v>
      </c>
      <c r="D27" s="20"/>
    </row>
    <row r="28" spans="1:6" x14ac:dyDescent="0.35">
      <c r="A28" s="54" t="s">
        <v>125</v>
      </c>
      <c r="B28" s="20"/>
      <c r="C28" s="20"/>
      <c r="D28" s="20"/>
    </row>
    <row r="29" spans="1:6" x14ac:dyDescent="0.35">
      <c r="A29" s="54" t="s">
        <v>60</v>
      </c>
      <c r="B29" s="20"/>
      <c r="C29" s="20"/>
      <c r="D29" s="20"/>
    </row>
    <row r="30" spans="1:6" x14ac:dyDescent="0.35">
      <c r="A30" s="54" t="s">
        <v>61</v>
      </c>
      <c r="B30" s="20"/>
      <c r="C30" s="20"/>
      <c r="D30" s="20"/>
    </row>
    <row r="31" spans="1:6" x14ac:dyDescent="0.35">
      <c r="A31" s="54" t="s">
        <v>62</v>
      </c>
      <c r="B31" s="20"/>
      <c r="C31" s="20">
        <v>-468674</v>
      </c>
      <c r="D31" s="20"/>
    </row>
    <row r="32" spans="1:6" x14ac:dyDescent="0.35">
      <c r="A32" s="54" t="s">
        <v>128</v>
      </c>
      <c r="B32" s="20"/>
      <c r="C32" s="20"/>
      <c r="D32" s="20"/>
    </row>
    <row r="33" spans="1:4" x14ac:dyDescent="0.35">
      <c r="A33" s="54" t="s">
        <v>63</v>
      </c>
      <c r="B33" s="20"/>
      <c r="C33" s="20"/>
      <c r="D33" s="20"/>
    </row>
    <row r="34" spans="1:4" x14ac:dyDescent="0.35">
      <c r="A34" s="54" t="s">
        <v>126</v>
      </c>
      <c r="B34" s="20"/>
      <c r="C34" s="20"/>
      <c r="D34" s="20"/>
    </row>
    <row r="35" spans="1:4" x14ac:dyDescent="0.35">
      <c r="A35" s="54" t="s">
        <v>64</v>
      </c>
      <c r="B35" s="20"/>
      <c r="C35" s="20"/>
      <c r="D35" s="20"/>
    </row>
    <row r="36" spans="1:4" x14ac:dyDescent="0.35">
      <c r="A36" s="21" t="s">
        <v>65</v>
      </c>
      <c r="B36" s="22">
        <f t="shared" ref="B36:D36" si="0">SUM(B8:B35)</f>
        <v>235346145</v>
      </c>
      <c r="C36" s="22">
        <f t="shared" si="0"/>
        <v>-1241259485.75</v>
      </c>
      <c r="D36" s="22">
        <f t="shared" si="0"/>
        <v>248000</v>
      </c>
    </row>
    <row r="37" spans="1:4" x14ac:dyDescent="0.35">
      <c r="A37" s="23"/>
      <c r="B37" s="23">
        <f>aruanne!D4</f>
        <v>235346145</v>
      </c>
      <c r="C37" s="23">
        <f>aruanne!D12+aruanne!D75</f>
        <v>-1241259486.74</v>
      </c>
      <c r="D37" s="23">
        <f>aruanne!D84</f>
        <v>248000</v>
      </c>
    </row>
    <row r="38" spans="1:4" x14ac:dyDescent="0.35">
      <c r="A38" s="23"/>
      <c r="B38" s="69">
        <f t="shared" ref="B38:D38" si="1">B36-B37</f>
        <v>0</v>
      </c>
      <c r="C38" s="69">
        <f t="shared" si="1"/>
        <v>0.99000000953674316</v>
      </c>
      <c r="D38" s="69">
        <f t="shared" si="1"/>
        <v>0</v>
      </c>
    </row>
    <row r="40" spans="1:4" x14ac:dyDescent="0.35">
      <c r="C40" s="1"/>
    </row>
    <row r="41" spans="1:4" x14ac:dyDescent="0.35">
      <c r="C41" s="1"/>
    </row>
    <row r="42" spans="1:4" x14ac:dyDescent="0.35">
      <c r="C42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aruanne</vt:lpstr>
      <vt:lpstr>vordlus</vt:lpstr>
      <vt:lpstr>lisa1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 Maar</dc:creator>
  <cp:lastModifiedBy>Katrin Jakobson</cp:lastModifiedBy>
  <cp:lastPrinted>2024-06-18T13:59:41Z</cp:lastPrinted>
  <dcterms:created xsi:type="dcterms:W3CDTF">2022-02-14T16:37:54Z</dcterms:created>
  <dcterms:modified xsi:type="dcterms:W3CDTF">2024-06-18T14:02:03Z</dcterms:modified>
  <dc:title>HTM_RETA_2023</dc:title>
</cp:coreProperties>
</file>